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GESTION SALUD LA CISTERNA\BIENIOS\WEB\"/>
    </mc:Choice>
  </mc:AlternateContent>
  <xr:revisionPtr revIDLastSave="0" documentId="8_{3A3FB9DE-4C98-421A-BCE7-EC387614EB32}" xr6:coauthVersionLast="47" xr6:coauthVersionMax="47" xr10:uidLastSave="{00000000-0000-0000-0000-000000000000}"/>
  <bookViews>
    <workbookView xWindow="24" yWindow="600" windowWidth="23016" windowHeight="12360" xr2:uid="{00000000-000D-0000-FFFF-FFFF00000000}"/>
  </bookViews>
  <sheets>
    <sheet name="BIENIOS SANTA ANSELMA" sheetId="4" r:id="rId1"/>
  </sheets>
  <definedNames>
    <definedName name="_xlnm._FilterDatabase" localSheetId="0" hidden="1">'BIENIOS SANTA ANSELMA'!$B$8:$I$210</definedName>
    <definedName name="_xlnm.Print_Area" localSheetId="0">'BIENIOS SANTA ANSELMA'!$B$350:$I$350</definedName>
    <definedName name="_xlnm.Print_Titles" localSheetId="0">'BIENIOS SANTA ANSELMA'!$6:$8</definedName>
  </definedNames>
  <calcPr calcId="191029"/>
</workbook>
</file>

<file path=xl/calcChain.xml><?xml version="1.0" encoding="utf-8"?>
<calcChain xmlns="http://schemas.openxmlformats.org/spreadsheetml/2006/main">
  <c r="BR192" i="4" l="1"/>
  <c r="G192" i="4" s="1"/>
  <c r="BQ192" i="4"/>
  <c r="F192" i="4"/>
  <c r="BR188" i="4"/>
  <c r="G188" i="4" s="1"/>
  <c r="H188" i="4" s="1"/>
  <c r="BQ188" i="4"/>
  <c r="F188" i="4"/>
  <c r="BR141" i="4"/>
  <c r="G141" i="4" s="1"/>
  <c r="H141" i="4" s="1"/>
  <c r="BQ141" i="4"/>
  <c r="F141" i="4"/>
  <c r="H192" i="4" l="1"/>
  <c r="AY52" i="4"/>
  <c r="AY79" i="4"/>
  <c r="BR204" i="4"/>
  <c r="G204" i="4" s="1"/>
  <c r="BQ204" i="4"/>
  <c r="F204" i="4"/>
  <c r="BR189" i="4"/>
  <c r="G189" i="4" s="1"/>
  <c r="BQ189" i="4"/>
  <c r="F189" i="4"/>
  <c r="BR407" i="4"/>
  <c r="G407" i="4" s="1"/>
  <c r="BQ407" i="4"/>
  <c r="F407" i="4"/>
  <c r="BR167" i="4"/>
  <c r="G167" i="4" s="1"/>
  <c r="BQ167" i="4"/>
  <c r="F167" i="4"/>
  <c r="BR194" i="4"/>
  <c r="G194" i="4" s="1"/>
  <c r="AZ194" i="4"/>
  <c r="AY194" i="4"/>
  <c r="F194" i="4"/>
  <c r="BR153" i="4"/>
  <c r="G153" i="4" s="1"/>
  <c r="BR152" i="4"/>
  <c r="AZ153" i="4"/>
  <c r="AY153" i="4"/>
  <c r="F153" i="4"/>
  <c r="BR398" i="4"/>
  <c r="G398" i="4" s="1"/>
  <c r="AZ398" i="4"/>
  <c r="AY398" i="4"/>
  <c r="F398" i="4"/>
  <c r="BR405" i="4"/>
  <c r="G405" i="4" s="1"/>
  <c r="AZ405" i="4"/>
  <c r="AY405" i="4"/>
  <c r="F405" i="4"/>
  <c r="BR401" i="4"/>
  <c r="BR210" i="4"/>
  <c r="BR209" i="4"/>
  <c r="BR208" i="4"/>
  <c r="BR207" i="4"/>
  <c r="BR206" i="4"/>
  <c r="BR205" i="4"/>
  <c r="BR203" i="4"/>
  <c r="BR202" i="4"/>
  <c r="BR201" i="4"/>
  <c r="BR200" i="4"/>
  <c r="BR199" i="4"/>
  <c r="BR198" i="4"/>
  <c r="BR197" i="4"/>
  <c r="BR196" i="4"/>
  <c r="BR195" i="4"/>
  <c r="BR193" i="4"/>
  <c r="BR191" i="4"/>
  <c r="BR190" i="4"/>
  <c r="BR187" i="4"/>
  <c r="BR186" i="4"/>
  <c r="BR185" i="4"/>
  <c r="BR400" i="4"/>
  <c r="BR184" i="4"/>
  <c r="BR183" i="4"/>
  <c r="BR182" i="4"/>
  <c r="BR181" i="4"/>
  <c r="BR180" i="4"/>
  <c r="BR179" i="4"/>
  <c r="BR178" i="4"/>
  <c r="BR177" i="4"/>
  <c r="BR176" i="4"/>
  <c r="BR175" i="4"/>
  <c r="BR174" i="4"/>
  <c r="BR173" i="4"/>
  <c r="BR172" i="4"/>
  <c r="BR171" i="4"/>
  <c r="BR170" i="4"/>
  <c r="BR169" i="4"/>
  <c r="BR168" i="4"/>
  <c r="BR406" i="4"/>
  <c r="BR166" i="4"/>
  <c r="BR165" i="4"/>
  <c r="BR164" i="4"/>
  <c r="BR163" i="4"/>
  <c r="BR162" i="4"/>
  <c r="BR161" i="4"/>
  <c r="BR160" i="4"/>
  <c r="BR159" i="4"/>
  <c r="BR158" i="4"/>
  <c r="BR157" i="4"/>
  <c r="BR156" i="4"/>
  <c r="BR155" i="4"/>
  <c r="BR154" i="4"/>
  <c r="BR151" i="4"/>
  <c r="BR150" i="4"/>
  <c r="BR149" i="4"/>
  <c r="BR148" i="4"/>
  <c r="BR147" i="4"/>
  <c r="BR146" i="4"/>
  <c r="BR145" i="4"/>
  <c r="BR144" i="4"/>
  <c r="BR143" i="4"/>
  <c r="BR142" i="4"/>
  <c r="BR140" i="4"/>
  <c r="BR139" i="4"/>
  <c r="BR138" i="4"/>
  <c r="BR137" i="4"/>
  <c r="BR136" i="4"/>
  <c r="BR135" i="4"/>
  <c r="BR134" i="4"/>
  <c r="BR133" i="4"/>
  <c r="BR132" i="4"/>
  <c r="BR131" i="4"/>
  <c r="BR130" i="4"/>
  <c r="BR129" i="4"/>
  <c r="BR128" i="4"/>
  <c r="BR127" i="4"/>
  <c r="BR126" i="4"/>
  <c r="BR125" i="4"/>
  <c r="BR124" i="4"/>
  <c r="BR123" i="4"/>
  <c r="BR122" i="4"/>
  <c r="BR121" i="4"/>
  <c r="BR120" i="4"/>
  <c r="BR119" i="4"/>
  <c r="BR118" i="4"/>
  <c r="BR117" i="4"/>
  <c r="BR116" i="4"/>
  <c r="BR115" i="4"/>
  <c r="BR114" i="4"/>
  <c r="BR113" i="4"/>
  <c r="BR112" i="4"/>
  <c r="BR111" i="4"/>
  <c r="BR110" i="4"/>
  <c r="BR402" i="4"/>
  <c r="BR109" i="4"/>
  <c r="BR108" i="4"/>
  <c r="BR399" i="4"/>
  <c r="BR107" i="4"/>
  <c r="BR106" i="4"/>
  <c r="BR105" i="4"/>
  <c r="BR104" i="4"/>
  <c r="BR103" i="4"/>
  <c r="BR102" i="4"/>
  <c r="BR101" i="4"/>
  <c r="BR100" i="4"/>
  <c r="BR99" i="4"/>
  <c r="BR98" i="4"/>
  <c r="BR97" i="4"/>
  <c r="BR96" i="4"/>
  <c r="BR95" i="4"/>
  <c r="BR94" i="4"/>
  <c r="BR93" i="4"/>
  <c r="BR92" i="4"/>
  <c r="BR91" i="4"/>
  <c r="BR90" i="4"/>
  <c r="BR89" i="4"/>
  <c r="BR88" i="4"/>
  <c r="BR87" i="4"/>
  <c r="BR86" i="4"/>
  <c r="BR85" i="4"/>
  <c r="BR84" i="4"/>
  <c r="BR83" i="4"/>
  <c r="BR82" i="4"/>
  <c r="BR81" i="4"/>
  <c r="BR80" i="4"/>
  <c r="BR79" i="4"/>
  <c r="BR78" i="4"/>
  <c r="BR77" i="4"/>
  <c r="BR76" i="4"/>
  <c r="BR75" i="4"/>
  <c r="BR74" i="4"/>
  <c r="BR73" i="4"/>
  <c r="BR72" i="4"/>
  <c r="BR71" i="4"/>
  <c r="BR70" i="4"/>
  <c r="BR69" i="4"/>
  <c r="BR68" i="4"/>
  <c r="BR67" i="4"/>
  <c r="BR66" i="4"/>
  <c r="BR65" i="4"/>
  <c r="BR64" i="4"/>
  <c r="BR63" i="4"/>
  <c r="BR62" i="4"/>
  <c r="BR61" i="4"/>
  <c r="BR60" i="4"/>
  <c r="BR59" i="4"/>
  <c r="BR58" i="4"/>
  <c r="BR57" i="4"/>
  <c r="BR56" i="4"/>
  <c r="BR55" i="4"/>
  <c r="BR54" i="4"/>
  <c r="BR53" i="4"/>
  <c r="BR52" i="4"/>
  <c r="BR51" i="4"/>
  <c r="BR50" i="4"/>
  <c r="BR49" i="4"/>
  <c r="BR48" i="4"/>
  <c r="BR47" i="4"/>
  <c r="BR46" i="4"/>
  <c r="BR45" i="4"/>
  <c r="BR44" i="4"/>
  <c r="BR43" i="4"/>
  <c r="BR42" i="4"/>
  <c r="BR41" i="4"/>
  <c r="BR40" i="4"/>
  <c r="BR39" i="4"/>
  <c r="BR38" i="4"/>
  <c r="BR37" i="4"/>
  <c r="BR36" i="4"/>
  <c r="BR35" i="4"/>
  <c r="BR34" i="4"/>
  <c r="BR33" i="4"/>
  <c r="BR32" i="4"/>
  <c r="BR31" i="4"/>
  <c r="BR30" i="4"/>
  <c r="BR29" i="4"/>
  <c r="BR28" i="4"/>
  <c r="BR27" i="4"/>
  <c r="BR26" i="4"/>
  <c r="BR25" i="4"/>
  <c r="BR24" i="4"/>
  <c r="BR23" i="4"/>
  <c r="BR404" i="4"/>
  <c r="BR22" i="4"/>
  <c r="BR21" i="4"/>
  <c r="BR20" i="4"/>
  <c r="BR19" i="4"/>
  <c r="BR18" i="4"/>
  <c r="BR17" i="4"/>
  <c r="BR16" i="4"/>
  <c r="BR15" i="4"/>
  <c r="BR14" i="4"/>
  <c r="BR13" i="4"/>
  <c r="BR12" i="4"/>
  <c r="BR11" i="4"/>
  <c r="BR10" i="4"/>
  <c r="BR9" i="4"/>
  <c r="BR397" i="4"/>
  <c r="AZ135" i="4"/>
  <c r="AZ36" i="4"/>
  <c r="BR403" i="4"/>
  <c r="H407" i="4" l="1"/>
  <c r="H204" i="4"/>
  <c r="H189" i="4"/>
  <c r="H153" i="4"/>
  <c r="H167" i="4"/>
  <c r="BB194" i="4"/>
  <c r="BQ194" i="4" s="1"/>
  <c r="BB153" i="4"/>
  <c r="BQ153" i="4" s="1"/>
  <c r="H194" i="4"/>
  <c r="BB405" i="4"/>
  <c r="BQ405" i="4" s="1"/>
  <c r="BB398" i="4"/>
  <c r="BQ398" i="4" s="1"/>
  <c r="H398" i="4"/>
  <c r="H405" i="4"/>
  <c r="AZ208" i="4"/>
  <c r="AZ191" i="4"/>
  <c r="AZ183" i="4"/>
  <c r="AZ182" i="4"/>
  <c r="AZ180" i="4"/>
  <c r="AZ175" i="4"/>
  <c r="AZ172" i="4"/>
  <c r="AZ169" i="4"/>
  <c r="AZ166" i="4"/>
  <c r="AZ165" i="4"/>
  <c r="AZ162" i="4"/>
  <c r="AZ158" i="4"/>
  <c r="AZ157" i="4"/>
  <c r="AZ152" i="4"/>
  <c r="AZ154" i="4"/>
  <c r="AZ139" i="4"/>
  <c r="AZ136" i="4"/>
  <c r="AZ125" i="4"/>
  <c r="AZ124" i="4"/>
  <c r="AZ121" i="4"/>
  <c r="AZ122" i="4"/>
  <c r="AZ118" i="4"/>
  <c r="AZ116" i="4"/>
  <c r="AZ114" i="4"/>
  <c r="AZ112" i="4"/>
  <c r="AZ108" i="4"/>
  <c r="AZ107" i="4"/>
  <c r="AZ106" i="4"/>
  <c r="AZ104" i="4"/>
  <c r="AZ100" i="4"/>
  <c r="AZ96" i="4"/>
  <c r="AZ92" i="4"/>
  <c r="AZ85" i="4"/>
  <c r="AZ84" i="4"/>
  <c r="AZ82" i="4"/>
  <c r="AZ83" i="4"/>
  <c r="AZ77" i="4"/>
  <c r="AZ76" i="4"/>
  <c r="AZ70" i="4"/>
  <c r="AZ69" i="4"/>
  <c r="AZ58" i="4"/>
  <c r="AZ56" i="4"/>
  <c r="AZ54" i="4"/>
  <c r="AZ46" i="4"/>
  <c r="AZ42" i="4"/>
  <c r="AZ37" i="4"/>
  <c r="AZ31" i="4"/>
  <c r="AZ30" i="4"/>
  <c r="AZ25" i="4"/>
  <c r="AZ28" i="4"/>
  <c r="AZ21" i="4"/>
  <c r="AZ19" i="4"/>
  <c r="AZ17" i="4"/>
  <c r="AZ16" i="4"/>
  <c r="AZ13" i="4"/>
  <c r="AZ163" i="4"/>
  <c r="AZ86" i="4"/>
  <c r="G140" i="4"/>
  <c r="AZ140" i="4"/>
  <c r="AY140" i="4"/>
  <c r="F140" i="4"/>
  <c r="H140" i="4" l="1"/>
  <c r="BB140" i="4"/>
  <c r="BQ140" i="4" s="1"/>
  <c r="BR396" i="4"/>
  <c r="G396" i="4" s="1"/>
  <c r="AZ396" i="4"/>
  <c r="AY396" i="4"/>
  <c r="F396" i="4"/>
  <c r="G88" i="4"/>
  <c r="AZ88" i="4"/>
  <c r="AY88" i="4"/>
  <c r="F88" i="4"/>
  <c r="AZ210" i="4"/>
  <c r="AZ207" i="4"/>
  <c r="AZ200" i="4"/>
  <c r="AZ197" i="4"/>
  <c r="AZ193" i="4"/>
  <c r="AZ185" i="4"/>
  <c r="AZ150" i="4"/>
  <c r="BB396" i="4" l="1"/>
  <c r="BB88" i="4"/>
  <c r="BQ88" i="4" s="1"/>
  <c r="H396" i="4"/>
  <c r="H88" i="4"/>
  <c r="AZ148" i="4"/>
  <c r="AZ143" i="4"/>
  <c r="AZ123" i="4"/>
  <c r="AZ105" i="4"/>
  <c r="AZ93" i="4"/>
  <c r="AZ79" i="4"/>
  <c r="AZ74" i="4"/>
  <c r="AZ72" i="4"/>
  <c r="AZ66" i="4"/>
  <c r="AZ59" i="4"/>
  <c r="AZ62" i="4"/>
  <c r="AZ52" i="4"/>
  <c r="AZ44" i="4"/>
  <c r="AZ41" i="4"/>
  <c r="AZ39" i="4"/>
  <c r="AZ20" i="4"/>
  <c r="AZ209" i="4"/>
  <c r="AZ186" i="4"/>
  <c r="AZ174" i="4"/>
  <c r="AZ173" i="4"/>
  <c r="AZ156" i="4"/>
  <c r="AZ155" i="4"/>
  <c r="AZ130" i="4"/>
  <c r="AZ60" i="4"/>
  <c r="AZ48" i="4"/>
  <c r="AZ24" i="4"/>
  <c r="AZ12" i="4"/>
  <c r="G184" i="4" l="1"/>
  <c r="AZ184" i="4"/>
  <c r="AY184" i="4"/>
  <c r="F184" i="4"/>
  <c r="BR395" i="4"/>
  <c r="G395" i="4" s="1"/>
  <c r="AZ395" i="4"/>
  <c r="AY395" i="4"/>
  <c r="F395" i="4"/>
  <c r="G131" i="4"/>
  <c r="AZ131" i="4"/>
  <c r="AY131" i="4"/>
  <c r="F131" i="4"/>
  <c r="G402" i="4"/>
  <c r="AZ402" i="4"/>
  <c r="AY402" i="4"/>
  <c r="F402" i="4"/>
  <c r="G102" i="4"/>
  <c r="AZ102" i="4"/>
  <c r="AY102" i="4"/>
  <c r="F102" i="4"/>
  <c r="G80" i="4"/>
  <c r="AZ80" i="4"/>
  <c r="AY80" i="4"/>
  <c r="F80" i="4"/>
  <c r="BR394" i="4"/>
  <c r="G394" i="4" s="1"/>
  <c r="AZ394" i="4"/>
  <c r="AY394" i="4"/>
  <c r="F394" i="4"/>
  <c r="G11" i="4"/>
  <c r="AZ11" i="4"/>
  <c r="AY11" i="4"/>
  <c r="F11" i="4"/>
  <c r="BB131" i="4" l="1"/>
  <c r="BQ131" i="4" s="1"/>
  <c r="BB184" i="4"/>
  <c r="BQ184" i="4" s="1"/>
  <c r="H394" i="4"/>
  <c r="H184" i="4"/>
  <c r="BB80" i="4"/>
  <c r="BQ80" i="4" s="1"/>
  <c r="BB395" i="4"/>
  <c r="H395" i="4"/>
  <c r="BB402" i="4"/>
  <c r="BQ402" i="4" s="1"/>
  <c r="BB394" i="4"/>
  <c r="H131" i="4"/>
  <c r="BB102" i="4"/>
  <c r="BQ102" i="4" s="1"/>
  <c r="H402" i="4"/>
  <c r="H80" i="4"/>
  <c r="BB11" i="4"/>
  <c r="BQ11" i="4" s="1"/>
  <c r="H102" i="4"/>
  <c r="H11" i="4"/>
  <c r="G397" i="4" l="1"/>
  <c r="AZ397" i="4"/>
  <c r="AY397" i="4"/>
  <c r="F397" i="4"/>
  <c r="BR393" i="4"/>
  <c r="G393" i="4" s="1"/>
  <c r="AZ393" i="4"/>
  <c r="AY393" i="4"/>
  <c r="F393" i="4"/>
  <c r="BR389" i="4"/>
  <c r="G389" i="4" s="1"/>
  <c r="AZ389" i="4"/>
  <c r="AY389" i="4"/>
  <c r="F389" i="4"/>
  <c r="G404" i="4"/>
  <c r="AZ404" i="4"/>
  <c r="AY404" i="4"/>
  <c r="F404" i="4"/>
  <c r="BB397" i="4" l="1"/>
  <c r="BQ397" i="4" s="1"/>
  <c r="H397" i="4"/>
  <c r="BB404" i="4"/>
  <c r="BQ404" i="4" s="1"/>
  <c r="BB393" i="4"/>
  <c r="H393" i="4"/>
  <c r="BB389" i="4"/>
  <c r="H404" i="4"/>
  <c r="H389" i="4"/>
  <c r="G9" i="4"/>
  <c r="AZ9" i="4"/>
  <c r="AY9" i="4"/>
  <c r="F9" i="4"/>
  <c r="AZ199" i="4"/>
  <c r="AZ181" i="4"/>
  <c r="AZ179" i="4"/>
  <c r="AZ160" i="4"/>
  <c r="BB9" i="4" l="1"/>
  <c r="BQ9" i="4" s="1"/>
  <c r="H9" i="4"/>
  <c r="AZ144" i="4"/>
  <c r="AZ142" i="4"/>
  <c r="AZ134" i="4"/>
  <c r="AZ115" i="4"/>
  <c r="AZ89" i="4"/>
  <c r="AZ81" i="4"/>
  <c r="AZ45" i="4"/>
  <c r="AZ40" i="4"/>
  <c r="AZ26" i="4"/>
  <c r="AZ22" i="4"/>
  <c r="G168" i="4" l="1"/>
  <c r="AZ168" i="4"/>
  <c r="AY168" i="4"/>
  <c r="F168" i="4"/>
  <c r="BR391" i="4"/>
  <c r="G391" i="4" s="1"/>
  <c r="AZ391" i="4"/>
  <c r="AY391" i="4"/>
  <c r="F391" i="4"/>
  <c r="G108" i="4"/>
  <c r="AY108" i="4"/>
  <c r="F108" i="4"/>
  <c r="G99" i="4"/>
  <c r="AZ99" i="4"/>
  <c r="AY99" i="4"/>
  <c r="F99" i="4"/>
  <c r="AZ151" i="4"/>
  <c r="H168" i="4" l="1"/>
  <c r="BB99" i="4"/>
  <c r="BQ99" i="4" s="1"/>
  <c r="BB391" i="4"/>
  <c r="BB168" i="4"/>
  <c r="BQ168" i="4" s="1"/>
  <c r="H391" i="4"/>
  <c r="BB108" i="4"/>
  <c r="BQ108" i="4" s="1"/>
  <c r="H108" i="4"/>
  <c r="H99" i="4"/>
  <c r="BR387" i="4"/>
  <c r="G387" i="4" s="1"/>
  <c r="AZ387" i="4"/>
  <c r="AY387" i="4"/>
  <c r="F387" i="4"/>
  <c r="G58" i="4"/>
  <c r="AY58" i="4"/>
  <c r="F58" i="4"/>
  <c r="G20" i="4"/>
  <c r="AY20" i="4"/>
  <c r="W20" i="4"/>
  <c r="F20" i="4"/>
  <c r="BB387" i="4" l="1"/>
  <c r="H387" i="4"/>
  <c r="H58" i="4"/>
  <c r="BB20" i="4"/>
  <c r="BQ20" i="4" s="1"/>
  <c r="BB58" i="4"/>
  <c r="BQ58" i="4" s="1"/>
  <c r="H20" i="4"/>
  <c r="AZ203" i="4" l="1"/>
  <c r="AZ392" i="4"/>
  <c r="AZ146" i="4" l="1"/>
  <c r="AZ129" i="4"/>
  <c r="AZ386" i="4"/>
  <c r="AZ95" i="4"/>
  <c r="AZ94" i="4"/>
  <c r="AZ61" i="4"/>
  <c r="AZ57" i="4"/>
  <c r="AZ35" i="4"/>
  <c r="AZ33" i="4"/>
  <c r="AZ32" i="4" l="1"/>
  <c r="G174" i="4" l="1"/>
  <c r="AY174" i="4"/>
  <c r="F174" i="4"/>
  <c r="G169" i="4"/>
  <c r="AY169" i="4"/>
  <c r="F169" i="4"/>
  <c r="G165" i="4"/>
  <c r="AY165" i="4"/>
  <c r="F165" i="4"/>
  <c r="BR382" i="4"/>
  <c r="G382" i="4" s="1"/>
  <c r="AZ382" i="4"/>
  <c r="AY382" i="4"/>
  <c r="F382" i="4"/>
  <c r="BR381" i="4"/>
  <c r="G381" i="4" s="1"/>
  <c r="AZ381" i="4"/>
  <c r="AY381" i="4"/>
  <c r="F381" i="4"/>
  <c r="BR380" i="4"/>
  <c r="G380" i="4" s="1"/>
  <c r="AZ380" i="4"/>
  <c r="AY380" i="4"/>
  <c r="F380" i="4"/>
  <c r="G85" i="4"/>
  <c r="AY85" i="4"/>
  <c r="F85" i="4"/>
  <c r="AZ379" i="4"/>
  <c r="BR379" i="4"/>
  <c r="G379" i="4" s="1"/>
  <c r="AY379" i="4"/>
  <c r="F379" i="4"/>
  <c r="BR384" i="4"/>
  <c r="G384" i="4" s="1"/>
  <c r="AZ384" i="4"/>
  <c r="AY384" i="4"/>
  <c r="F384" i="4"/>
  <c r="BB169" i="4" l="1"/>
  <c r="BQ169" i="4" s="1"/>
  <c r="H174" i="4"/>
  <c r="BB174" i="4"/>
  <c r="BQ174" i="4" s="1"/>
  <c r="BB165" i="4"/>
  <c r="BQ165" i="4" s="1"/>
  <c r="BB380" i="4"/>
  <c r="BB382" i="4"/>
  <c r="H169" i="4"/>
  <c r="H165" i="4"/>
  <c r="H382" i="4"/>
  <c r="BB384" i="4"/>
  <c r="BB381" i="4"/>
  <c r="H85" i="4"/>
  <c r="H381" i="4"/>
  <c r="BB85" i="4"/>
  <c r="BQ85" i="4" s="1"/>
  <c r="H380" i="4"/>
  <c r="BB379" i="4"/>
  <c r="H379" i="4"/>
  <c r="H384" i="4"/>
  <c r="G161" i="4" l="1"/>
  <c r="AZ161" i="4"/>
  <c r="AY161" i="4"/>
  <c r="AV161" i="4"/>
  <c r="AU161" i="4"/>
  <c r="AR161" i="4"/>
  <c r="AQ161" i="4"/>
  <c r="AN161" i="4"/>
  <c r="AM161" i="4"/>
  <c r="AJ161" i="4"/>
  <c r="AI161" i="4"/>
  <c r="AF161" i="4"/>
  <c r="AD161" i="4"/>
  <c r="F161" i="4"/>
  <c r="G143" i="4"/>
  <c r="AY143" i="4"/>
  <c r="AV143" i="4"/>
  <c r="AU143" i="4"/>
  <c r="AD143" i="4"/>
  <c r="AH143" i="4" s="1"/>
  <c r="AL143" i="4" s="1"/>
  <c r="AP143" i="4" s="1"/>
  <c r="AT143" i="4" s="1"/>
  <c r="F143" i="4"/>
  <c r="AH161" i="4" l="1"/>
  <c r="AL161" i="4" s="1"/>
  <c r="AP161" i="4" s="1"/>
  <c r="AT161" i="4" s="1"/>
  <c r="AX161" i="4" s="1"/>
  <c r="BB161" i="4" s="1"/>
  <c r="BQ161" i="4" s="1"/>
  <c r="H161" i="4"/>
  <c r="AX143" i="4"/>
  <c r="BB143" i="4" s="1"/>
  <c r="BQ143" i="4" s="1"/>
  <c r="H143" i="4"/>
  <c r="G72" i="4" l="1"/>
  <c r="AY72" i="4"/>
  <c r="F72" i="4"/>
  <c r="G193" i="4"/>
  <c r="AY193" i="4"/>
  <c r="W193" i="4"/>
  <c r="F193" i="4"/>
  <c r="G86" i="4"/>
  <c r="AY86" i="4"/>
  <c r="F86" i="4"/>
  <c r="BB72" i="4" l="1"/>
  <c r="BQ72" i="4" s="1"/>
  <c r="H193" i="4"/>
  <c r="BB193" i="4"/>
  <c r="BQ193" i="4" s="1"/>
  <c r="BB86" i="4"/>
  <c r="BQ86" i="4" s="1"/>
  <c r="H86" i="4"/>
  <c r="H72" i="4"/>
  <c r="G21" i="4"/>
  <c r="AY21" i="4"/>
  <c r="AV21" i="4"/>
  <c r="AU21" i="4"/>
  <c r="AD21" i="4"/>
  <c r="AH21" i="4" s="1"/>
  <c r="AL21" i="4" s="1"/>
  <c r="AP21" i="4" s="1"/>
  <c r="AT21" i="4" s="1"/>
  <c r="F21" i="4"/>
  <c r="H21" i="4" l="1"/>
  <c r="AX21" i="4"/>
  <c r="BB21" i="4" s="1"/>
  <c r="BQ21" i="4" s="1"/>
  <c r="AZ406" i="4"/>
  <c r="AZ147" i="4"/>
  <c r="AZ119" i="4"/>
  <c r="AZ390" i="4"/>
  <c r="AZ98" i="4"/>
  <c r="AZ55" i="4"/>
  <c r="AZ27" i="4"/>
  <c r="AZ190" i="4"/>
  <c r="AZ138" i="4"/>
  <c r="AZ132" i="4"/>
  <c r="AZ109" i="4"/>
  <c r="AZ101" i="4"/>
  <c r="AZ67" i="4"/>
  <c r="AZ15" i="4"/>
  <c r="G32" i="4"/>
  <c r="AY32" i="4"/>
  <c r="AV32" i="4"/>
  <c r="AU32" i="4"/>
  <c r="AR32" i="4"/>
  <c r="AQ32" i="4"/>
  <c r="AN32" i="4"/>
  <c r="AM32" i="4"/>
  <c r="AJ32" i="4"/>
  <c r="AI32" i="4"/>
  <c r="AF32" i="4"/>
  <c r="AD32" i="4"/>
  <c r="F32" i="4"/>
  <c r="AH32" i="4" l="1"/>
  <c r="AL32" i="4" s="1"/>
  <c r="AP32" i="4" s="1"/>
  <c r="AT32" i="4" s="1"/>
  <c r="AX32" i="4" s="1"/>
  <c r="BB32" i="4" s="1"/>
  <c r="BQ32" i="4" s="1"/>
  <c r="H32" i="4"/>
  <c r="BR369" i="4"/>
  <c r="G369" i="4" s="1"/>
  <c r="AZ369" i="4"/>
  <c r="AY369" i="4"/>
  <c r="AV369" i="4"/>
  <c r="AU369" i="4"/>
  <c r="AD369" i="4"/>
  <c r="AH369" i="4" s="1"/>
  <c r="AL369" i="4" s="1"/>
  <c r="AP369" i="4" s="1"/>
  <c r="AT369" i="4" s="1"/>
  <c r="F369" i="4"/>
  <c r="G163" i="4"/>
  <c r="AY163" i="4"/>
  <c r="F163" i="4"/>
  <c r="BB163" i="4" l="1"/>
  <c r="BQ163" i="4" s="1"/>
  <c r="H163" i="4"/>
  <c r="AX369" i="4"/>
  <c r="BB369" i="4" s="1"/>
  <c r="H369" i="4"/>
  <c r="BR383" i="4" l="1"/>
  <c r="G383" i="4" s="1"/>
  <c r="AZ383" i="4"/>
  <c r="AY383" i="4"/>
  <c r="F383" i="4"/>
  <c r="BR376" i="4"/>
  <c r="G376" i="4" s="1"/>
  <c r="AZ376" i="4"/>
  <c r="AY376" i="4"/>
  <c r="F376" i="4"/>
  <c r="BB383" i="4" l="1"/>
  <c r="BB376" i="4"/>
  <c r="H383" i="4"/>
  <c r="H376" i="4"/>
  <c r="AY118" i="4"/>
  <c r="AY71" i="4"/>
  <c r="G57" i="4"/>
  <c r="AY57" i="4"/>
  <c r="F57" i="4"/>
  <c r="BB57" i="4" l="1"/>
  <c r="BQ57" i="4" s="1"/>
  <c r="H57" i="4"/>
  <c r="AY210" i="4" l="1"/>
  <c r="AY200" i="4"/>
  <c r="AY197" i="4"/>
  <c r="AY196" i="4"/>
  <c r="AY191" i="4"/>
  <c r="AY186" i="4"/>
  <c r="AY185" i="4"/>
  <c r="AY183" i="4"/>
  <c r="AY181" i="4"/>
  <c r="AY180" i="4"/>
  <c r="AY173" i="4"/>
  <c r="AY172" i="4"/>
  <c r="AY157" i="4"/>
  <c r="AY156" i="4"/>
  <c r="AY152" i="4"/>
  <c r="AY151" i="4"/>
  <c r="AY154" i="4"/>
  <c r="AY142" i="4"/>
  <c r="AY139" i="4"/>
  <c r="AY138" i="4"/>
  <c r="AY137" i="4"/>
  <c r="AY130" i="4"/>
  <c r="AY129" i="4"/>
  <c r="AY124" i="4"/>
  <c r="AY123" i="4"/>
  <c r="AY119" i="4"/>
  <c r="AY114" i="4"/>
  <c r="AY110" i="4"/>
  <c r="AY109" i="4"/>
  <c r="AY107" i="4"/>
  <c r="AY106" i="4"/>
  <c r="AY390" i="4"/>
  <c r="AY104" i="4"/>
  <c r="AY101" i="4"/>
  <c r="AY98" i="4"/>
  <c r="AY96" i="4"/>
  <c r="AY94" i="4"/>
  <c r="AY90" i="4"/>
  <c r="AY89" i="4"/>
  <c r="AY87" i="4"/>
  <c r="AY84" i="4"/>
  <c r="AY81" i="4"/>
  <c r="AY77" i="4"/>
  <c r="AY76" i="4"/>
  <c r="AY69" i="4"/>
  <c r="AY63" i="4"/>
  <c r="AY61" i="4"/>
  <c r="AY60" i="4"/>
  <c r="AY56" i="4"/>
  <c r="AY55" i="4"/>
  <c r="AY51" i="4"/>
  <c r="AY45" i="4"/>
  <c r="AY43" i="4"/>
  <c r="AY42" i="4"/>
  <c r="AY40" i="4"/>
  <c r="AY36" i="4"/>
  <c r="AY35" i="4"/>
  <c r="AY34" i="4"/>
  <c r="AY27" i="4"/>
  <c r="AY29" i="4"/>
  <c r="AY28" i="4"/>
  <c r="AY23" i="4"/>
  <c r="AY371" i="4"/>
  <c r="AY16" i="4"/>
  <c r="AY13" i="4"/>
  <c r="AY12" i="4"/>
  <c r="AY170" i="4" l="1"/>
  <c r="AY160" i="4"/>
  <c r="AY105" i="4"/>
  <c r="AY208" i="4"/>
  <c r="AY201" i="4"/>
  <c r="AY182" i="4"/>
  <c r="AY146" i="4"/>
  <c r="AY97" i="4"/>
  <c r="AY74" i="4"/>
  <c r="AY59" i="4"/>
  <c r="AY26" i="4"/>
  <c r="AY24" i="4"/>
  <c r="AY22" i="4"/>
  <c r="AY10" i="4"/>
  <c r="G175" i="4" l="1"/>
  <c r="AY175" i="4"/>
  <c r="F175" i="4"/>
  <c r="BR392" i="4"/>
  <c r="G392" i="4" s="1"/>
  <c r="AY392" i="4"/>
  <c r="F392" i="4"/>
  <c r="BB175" i="4" l="1"/>
  <c r="BQ175" i="4" s="1"/>
  <c r="BB392" i="4"/>
  <c r="H175" i="4"/>
  <c r="H392" i="4"/>
  <c r="AV146" i="4" l="1"/>
  <c r="AY378" i="4"/>
  <c r="AV69" i="4"/>
  <c r="AU378" i="4"/>
  <c r="AU28" i="4"/>
  <c r="AV208" i="4"/>
  <c r="AU208" i="4"/>
  <c r="AN208" i="4"/>
  <c r="AR208" i="4"/>
  <c r="AV190" i="4" l="1"/>
  <c r="AV154" i="4"/>
  <c r="AV144" i="4"/>
  <c r="AV79" i="4"/>
  <c r="AV68" i="4"/>
  <c r="BR378" i="4" l="1"/>
  <c r="BR365" i="4"/>
  <c r="BR364" i="4"/>
  <c r="G364" i="4" s="1"/>
  <c r="BR368" i="4"/>
  <c r="BR377" i="4"/>
  <c r="BR375" i="4"/>
  <c r="BR388" i="4"/>
  <c r="BR367" i="4"/>
  <c r="BR374" i="4"/>
  <c r="BR373" i="4"/>
  <c r="BR386" i="4"/>
  <c r="BR390" i="4"/>
  <c r="BR363" i="4"/>
  <c r="BR372" i="4"/>
  <c r="BR385" i="4"/>
  <c r="BR366" i="4"/>
  <c r="BR371" i="4"/>
  <c r="BR370" i="4"/>
  <c r="AY401" i="4" l="1"/>
  <c r="AY199" i="4"/>
  <c r="AY134" i="4"/>
  <c r="W139" i="4"/>
  <c r="AZ401" i="4" l="1"/>
  <c r="AY209" i="4"/>
  <c r="AY207" i="4"/>
  <c r="AZ206" i="4"/>
  <c r="AY206" i="4"/>
  <c r="AZ205" i="4"/>
  <c r="AY205" i="4"/>
  <c r="AZ378" i="4"/>
  <c r="AY203" i="4"/>
  <c r="AZ202" i="4"/>
  <c r="AY202" i="4"/>
  <c r="AZ201" i="4"/>
  <c r="AZ198" i="4"/>
  <c r="AY198" i="4"/>
  <c r="AZ196" i="4"/>
  <c r="AZ195" i="4"/>
  <c r="AY195" i="4"/>
  <c r="AY190" i="4"/>
  <c r="AZ365" i="4"/>
  <c r="AY365" i="4"/>
  <c r="AZ187" i="4"/>
  <c r="AY187" i="4"/>
  <c r="AZ400" i="4"/>
  <c r="AY400" i="4"/>
  <c r="AZ364" i="4"/>
  <c r="AY364" i="4"/>
  <c r="AY179" i="4"/>
  <c r="AZ178" i="4"/>
  <c r="AY178" i="4"/>
  <c r="AZ177" i="4"/>
  <c r="AY177" i="4"/>
  <c r="AZ176" i="4"/>
  <c r="AY176" i="4"/>
  <c r="AZ368" i="4"/>
  <c r="AY368" i="4"/>
  <c r="AZ171" i="4"/>
  <c r="AY171" i="4"/>
  <c r="AZ170" i="4"/>
  <c r="AZ377" i="4"/>
  <c r="AY377" i="4"/>
  <c r="AY406" i="4"/>
  <c r="AY166" i="4"/>
  <c r="AZ164" i="4"/>
  <c r="AY164" i="4"/>
  <c r="AY162" i="4"/>
  <c r="AZ159" i="4"/>
  <c r="AY159" i="4"/>
  <c r="AY158" i="4"/>
  <c r="AY155" i="4"/>
  <c r="AY150" i="4"/>
  <c r="AZ149" i="4"/>
  <c r="AY149" i="4"/>
  <c r="AY148" i="4"/>
  <c r="AY147" i="4"/>
  <c r="AZ145" i="4"/>
  <c r="AY145" i="4"/>
  <c r="AZ375" i="4"/>
  <c r="AY375" i="4"/>
  <c r="AY144" i="4"/>
  <c r="AZ388" i="4"/>
  <c r="AY388" i="4"/>
  <c r="AZ137" i="4"/>
  <c r="AY136" i="4"/>
  <c r="AY135" i="4"/>
  <c r="AZ133" i="4"/>
  <c r="AY133" i="4"/>
  <c r="AY132" i="4"/>
  <c r="AZ367" i="4"/>
  <c r="AY367" i="4"/>
  <c r="AZ128" i="4"/>
  <c r="AY128" i="4"/>
  <c r="AZ127" i="4"/>
  <c r="AY127" i="4"/>
  <c r="AZ126" i="4"/>
  <c r="AY126" i="4"/>
  <c r="AY125" i="4"/>
  <c r="AY122" i="4"/>
  <c r="AY121" i="4"/>
  <c r="AZ374" i="4"/>
  <c r="AY374" i="4"/>
  <c r="AZ120" i="4"/>
  <c r="AY120" i="4"/>
  <c r="AZ117" i="4"/>
  <c r="AY117" i="4"/>
  <c r="AY116" i="4"/>
  <c r="AY115" i="4"/>
  <c r="AZ113" i="4"/>
  <c r="AY113" i="4"/>
  <c r="AY112" i="4"/>
  <c r="AZ111" i="4"/>
  <c r="AY111" i="4"/>
  <c r="AZ110" i="4"/>
  <c r="AZ373" i="4"/>
  <c r="AY373" i="4"/>
  <c r="AY386" i="4"/>
  <c r="AZ103" i="4"/>
  <c r="AY103" i="4"/>
  <c r="AY100" i="4"/>
  <c r="AZ97" i="4"/>
  <c r="AY95" i="4"/>
  <c r="AY93" i="4"/>
  <c r="AY92" i="4"/>
  <c r="AZ91" i="4"/>
  <c r="AY91" i="4"/>
  <c r="AZ90" i="4"/>
  <c r="AZ87" i="4"/>
  <c r="AZ363" i="4"/>
  <c r="AY363" i="4"/>
  <c r="AY83" i="4"/>
  <c r="AY82" i="4"/>
  <c r="AZ78" i="4"/>
  <c r="AY78" i="4"/>
  <c r="AZ75" i="4"/>
  <c r="AY75" i="4"/>
  <c r="AZ73" i="4"/>
  <c r="AY73" i="4"/>
  <c r="AZ71" i="4"/>
  <c r="AY70" i="4"/>
  <c r="AZ68" i="4"/>
  <c r="AY68" i="4"/>
  <c r="AY67" i="4"/>
  <c r="AY66" i="4"/>
  <c r="AZ372" i="4"/>
  <c r="AY372" i="4"/>
  <c r="AZ65" i="4"/>
  <c r="AY65" i="4"/>
  <c r="AZ64" i="4"/>
  <c r="AY64" i="4"/>
  <c r="AZ63" i="4"/>
  <c r="AY62" i="4"/>
  <c r="AY54" i="4"/>
  <c r="AZ53" i="4"/>
  <c r="AY53" i="4"/>
  <c r="AZ51" i="4"/>
  <c r="AZ50" i="4"/>
  <c r="AY50" i="4"/>
  <c r="AZ49" i="4"/>
  <c r="AY49" i="4"/>
  <c r="AY48" i="4"/>
  <c r="AZ47" i="4"/>
  <c r="AY47" i="4"/>
  <c r="AY46" i="4"/>
  <c r="AY44" i="4"/>
  <c r="AZ43" i="4"/>
  <c r="AY41" i="4"/>
  <c r="AZ385" i="4"/>
  <c r="AY385" i="4"/>
  <c r="AY39" i="4"/>
  <c r="AZ399" i="4"/>
  <c r="AY399" i="4"/>
  <c r="AZ38" i="4"/>
  <c r="AY38" i="4"/>
  <c r="AY37" i="4"/>
  <c r="AZ34" i="4"/>
  <c r="AY33" i="4"/>
  <c r="AY31" i="4"/>
  <c r="AY30" i="4"/>
  <c r="AZ29" i="4"/>
  <c r="AY25" i="4"/>
  <c r="AZ23" i="4"/>
  <c r="AZ366" i="4"/>
  <c r="AY366" i="4"/>
  <c r="AZ371" i="4"/>
  <c r="AY19" i="4"/>
  <c r="AZ18" i="4"/>
  <c r="AY18" i="4"/>
  <c r="AY17" i="4"/>
  <c r="AY15" i="4"/>
  <c r="AZ14" i="4"/>
  <c r="AY14" i="4"/>
  <c r="AZ10" i="4"/>
  <c r="AZ370" i="4"/>
  <c r="AY370" i="4"/>
  <c r="AZ403" i="4"/>
  <c r="AY403" i="4"/>
  <c r="BB367" i="4" l="1"/>
  <c r="AV94" i="4"/>
  <c r="AV191" i="4"/>
  <c r="AV400" i="4"/>
  <c r="AV182" i="4"/>
  <c r="AV181" i="4"/>
  <c r="AV180" i="4"/>
  <c r="AV177" i="4"/>
  <c r="AV173" i="4"/>
  <c r="AV157" i="4"/>
  <c r="AV119" i="4"/>
  <c r="AV115" i="4"/>
  <c r="AV109" i="4"/>
  <c r="AV106" i="4"/>
  <c r="AV100" i="4"/>
  <c r="AV78" i="4"/>
  <c r="AV77" i="4"/>
  <c r="AV66" i="4"/>
  <c r="AV61" i="4"/>
  <c r="AV59" i="4"/>
  <c r="AV56" i="4"/>
  <c r="AV55" i="4"/>
  <c r="AV52" i="4"/>
  <c r="AV49" i="4"/>
  <c r="AV40" i="4"/>
  <c r="AV31" i="4"/>
  <c r="AV30" i="4"/>
  <c r="AV25" i="4"/>
  <c r="G198" i="4" l="1"/>
  <c r="AV198" i="4"/>
  <c r="AU198" i="4"/>
  <c r="F198" i="4"/>
  <c r="AX198" i="4" l="1"/>
  <c r="BB198" i="4" s="1"/>
  <c r="BQ198" i="4" s="1"/>
  <c r="H198" i="4"/>
  <c r="AV364" i="4"/>
  <c r="AU364" i="4"/>
  <c r="F364" i="4"/>
  <c r="H364" i="4" s="1"/>
  <c r="AX364" i="4" l="1"/>
  <c r="BB364" i="4" s="1"/>
  <c r="G390" i="4"/>
  <c r="AV390" i="4"/>
  <c r="AU390" i="4"/>
  <c r="W390" i="4"/>
  <c r="F390" i="4"/>
  <c r="G183" i="4"/>
  <c r="AV183" i="4"/>
  <c r="AU183" i="4"/>
  <c r="F183" i="4"/>
  <c r="G122" i="4"/>
  <c r="AV122" i="4"/>
  <c r="AU122" i="4"/>
  <c r="F122" i="4"/>
  <c r="AV123" i="4"/>
  <c r="AV207" i="4"/>
  <c r="AV199" i="4"/>
  <c r="AV203" i="4"/>
  <c r="AV197" i="4"/>
  <c r="AV185" i="4"/>
  <c r="AV172" i="4"/>
  <c r="AV155" i="4"/>
  <c r="AV152" i="4"/>
  <c r="AV142" i="4"/>
  <c r="AV137" i="4"/>
  <c r="AV134" i="4"/>
  <c r="AV130" i="4"/>
  <c r="AX118" i="4"/>
  <c r="BB118" i="4" s="1"/>
  <c r="BQ118" i="4" s="1"/>
  <c r="AX374" i="4"/>
  <c r="BB374" i="4" s="1"/>
  <c r="AV117" i="4"/>
  <c r="AV114" i="4"/>
  <c r="AV373" i="4"/>
  <c r="AV386" i="4"/>
  <c r="AV101" i="4"/>
  <c r="AV98" i="4"/>
  <c r="AV96" i="4"/>
  <c r="AV84" i="4"/>
  <c r="AX363" i="4"/>
  <c r="BB363" i="4" s="1"/>
  <c r="AX83" i="4"/>
  <c r="BB83" i="4" s="1"/>
  <c r="BQ83" i="4" s="1"/>
  <c r="AX81" i="4"/>
  <c r="BB81" i="4" s="1"/>
  <c r="BQ81" i="4" s="1"/>
  <c r="AV82" i="4"/>
  <c r="AV76" i="4"/>
  <c r="AV75" i="4"/>
  <c r="AX64" i="4"/>
  <c r="BB64" i="4" s="1"/>
  <c r="BQ64" i="4" s="1"/>
  <c r="AX65" i="4"/>
  <c r="BB65" i="4" s="1"/>
  <c r="BQ65" i="4" s="1"/>
  <c r="AV63" i="4"/>
  <c r="AV60" i="4"/>
  <c r="AX390" i="4" l="1"/>
  <c r="BB390" i="4" s="1"/>
  <c r="H390" i="4"/>
  <c r="H183" i="4"/>
  <c r="AX122" i="4"/>
  <c r="BB122" i="4" s="1"/>
  <c r="BQ122" i="4" s="1"/>
  <c r="AX183" i="4"/>
  <c r="BB183" i="4" s="1"/>
  <c r="BQ183" i="4" s="1"/>
  <c r="H122" i="4"/>
  <c r="AV45" i="4"/>
  <c r="AV44" i="4"/>
  <c r="AV42" i="4"/>
  <c r="AV27" i="4"/>
  <c r="AV24" i="4"/>
  <c r="AV139" i="4"/>
  <c r="AV22" i="4"/>
  <c r="AV18" i="4"/>
  <c r="AV12" i="4"/>
  <c r="G81" i="4" l="1"/>
  <c r="F81" i="4"/>
  <c r="H81" i="4" l="1"/>
  <c r="AV41" i="4" l="1"/>
  <c r="AV35" i="4"/>
  <c r="G367" i="4" l="1"/>
  <c r="F367" i="4"/>
  <c r="H367" i="4" l="1"/>
  <c r="G374" i="4"/>
  <c r="F374" i="4"/>
  <c r="G83" i="4"/>
  <c r="F83" i="4"/>
  <c r="G64" i="4"/>
  <c r="F64" i="4"/>
  <c r="AV378" i="4"/>
  <c r="AV205" i="4"/>
  <c r="AV178" i="4"/>
  <c r="AV388" i="4"/>
  <c r="AV95" i="4"/>
  <c r="AV87" i="4"/>
  <c r="AV29" i="4"/>
  <c r="AV371" i="4"/>
  <c r="AV17" i="4"/>
  <c r="G195" i="4"/>
  <c r="AV195" i="4"/>
  <c r="AU195" i="4"/>
  <c r="AD195" i="4"/>
  <c r="AH195" i="4" s="1"/>
  <c r="AL195" i="4" s="1"/>
  <c r="AP195" i="4" s="1"/>
  <c r="AT195" i="4" s="1"/>
  <c r="F195" i="4"/>
  <c r="H83" i="4" l="1"/>
  <c r="H374" i="4"/>
  <c r="H64" i="4"/>
  <c r="AX195" i="4"/>
  <c r="BB195" i="4" s="1"/>
  <c r="BQ195" i="4" s="1"/>
  <c r="H195" i="4"/>
  <c r="G10" i="4"/>
  <c r="AV10" i="4"/>
  <c r="AU10" i="4"/>
  <c r="AR10" i="4"/>
  <c r="AQ10" i="4"/>
  <c r="AH10" i="4"/>
  <c r="AL10" i="4" s="1"/>
  <c r="AP10" i="4" s="1"/>
  <c r="F10" i="4"/>
  <c r="G181" i="4"/>
  <c r="AU181" i="4"/>
  <c r="AD181" i="4"/>
  <c r="AH181" i="4" s="1"/>
  <c r="AL181" i="4" s="1"/>
  <c r="AP181" i="4" s="1"/>
  <c r="AT181" i="4" s="1"/>
  <c r="F181" i="4"/>
  <c r="AT10" i="4" l="1"/>
  <c r="AX10" i="4" s="1"/>
  <c r="BB10" i="4" s="1"/>
  <c r="BQ10" i="4" s="1"/>
  <c r="H181" i="4"/>
  <c r="H10" i="4"/>
  <c r="AX181" i="4"/>
  <c r="BB181" i="4" s="1"/>
  <c r="BQ181" i="4" s="1"/>
  <c r="AV162" i="4"/>
  <c r="G118" i="4" l="1"/>
  <c r="F118" i="4"/>
  <c r="G363" i="4"/>
  <c r="F363" i="4"/>
  <c r="G65" i="4"/>
  <c r="F65" i="4"/>
  <c r="H363" i="4" l="1"/>
  <c r="H65" i="4"/>
  <c r="H118" i="4"/>
  <c r="AV401" i="4"/>
  <c r="AV210" i="4"/>
  <c r="AV206" i="4"/>
  <c r="AV200" i="4"/>
  <c r="AV202" i="4"/>
  <c r="AV196" i="4"/>
  <c r="AV187" i="4"/>
  <c r="AV186" i="4"/>
  <c r="AV176" i="4"/>
  <c r="AV166" i="4"/>
  <c r="AV164" i="4"/>
  <c r="AV156" i="4"/>
  <c r="AV150" i="4"/>
  <c r="AV149" i="4"/>
  <c r="AV148" i="4"/>
  <c r="AV147" i="4"/>
  <c r="AV145" i="4"/>
  <c r="AV375" i="4"/>
  <c r="AV138" i="4"/>
  <c r="AV132" i="4"/>
  <c r="AV120" i="4"/>
  <c r="AV113" i="4"/>
  <c r="AV97" i="4"/>
  <c r="AV90" i="4"/>
  <c r="AV89" i="4"/>
  <c r="AV74" i="4"/>
  <c r="AV70" i="4"/>
  <c r="AV51" i="4"/>
  <c r="AV37" i="4"/>
  <c r="AV23" i="4"/>
  <c r="AV15" i="4"/>
  <c r="AV13" i="4"/>
  <c r="AV370" i="4"/>
  <c r="G151" i="4"/>
  <c r="AD151" i="4"/>
  <c r="AH151" i="4" s="1"/>
  <c r="AL151" i="4" s="1"/>
  <c r="AP151" i="4" s="1"/>
  <c r="AT151" i="4" s="1"/>
  <c r="AX151" i="4" s="1"/>
  <c r="BB151" i="4" s="1"/>
  <c r="BQ151" i="4" s="1"/>
  <c r="F151" i="4"/>
  <c r="BR362" i="4"/>
  <c r="G362" i="4" s="1"/>
  <c r="AV362" i="4"/>
  <c r="AU362" i="4"/>
  <c r="AD362" i="4"/>
  <c r="AH362" i="4" s="1"/>
  <c r="AL362" i="4" s="1"/>
  <c r="AP362" i="4" s="1"/>
  <c r="AT362" i="4" s="1"/>
  <c r="F362" i="4"/>
  <c r="H151" i="4" l="1"/>
  <c r="H362" i="4"/>
  <c r="AX362" i="4"/>
  <c r="BR361" i="4" l="1"/>
  <c r="G361" i="4" s="1"/>
  <c r="AV361" i="4"/>
  <c r="AU361" i="4"/>
  <c r="AD361" i="4"/>
  <c r="AH361" i="4" s="1"/>
  <c r="AL361" i="4" s="1"/>
  <c r="AP361" i="4" s="1"/>
  <c r="AT361" i="4" s="1"/>
  <c r="F361" i="4"/>
  <c r="BR354" i="4"/>
  <c r="G354" i="4" s="1"/>
  <c r="AV354" i="4"/>
  <c r="AU354" i="4"/>
  <c r="AD354" i="4"/>
  <c r="AH354" i="4" s="1"/>
  <c r="AL354" i="4" s="1"/>
  <c r="AP354" i="4" s="1"/>
  <c r="AT354" i="4" s="1"/>
  <c r="F354" i="4"/>
  <c r="BR353" i="4"/>
  <c r="G353" i="4" s="1"/>
  <c r="AV353" i="4"/>
  <c r="AU353" i="4"/>
  <c r="AD353" i="4"/>
  <c r="AH353" i="4" s="1"/>
  <c r="AL353" i="4" s="1"/>
  <c r="AP353" i="4" s="1"/>
  <c r="AT353" i="4" s="1"/>
  <c r="F353" i="4"/>
  <c r="G157" i="4"/>
  <c r="AU157" i="4"/>
  <c r="AD157" i="4"/>
  <c r="AH157" i="4" s="1"/>
  <c r="AL157" i="4" s="1"/>
  <c r="AP157" i="4" s="1"/>
  <c r="AT157" i="4" s="1"/>
  <c r="F157" i="4"/>
  <c r="BR352" i="4"/>
  <c r="G352" i="4" s="1"/>
  <c r="AV352" i="4"/>
  <c r="AU352" i="4"/>
  <c r="AD352" i="4"/>
  <c r="AH352" i="4" s="1"/>
  <c r="AL352" i="4" s="1"/>
  <c r="AP352" i="4" s="1"/>
  <c r="AT352" i="4" s="1"/>
  <c r="F352" i="4"/>
  <c r="G121" i="4"/>
  <c r="AV121" i="4"/>
  <c r="AU121" i="4"/>
  <c r="AD121" i="4"/>
  <c r="AH121" i="4" s="1"/>
  <c r="AL121" i="4" s="1"/>
  <c r="AP121" i="4" s="1"/>
  <c r="AT121" i="4" s="1"/>
  <c r="F121" i="4"/>
  <c r="AX354" i="4" l="1"/>
  <c r="AX361" i="4"/>
  <c r="H361" i="4"/>
  <c r="H354" i="4"/>
  <c r="AX353" i="4"/>
  <c r="H353" i="4"/>
  <c r="AX121" i="4"/>
  <c r="BB121" i="4" s="1"/>
  <c r="BQ121" i="4" s="1"/>
  <c r="AX157" i="4"/>
  <c r="BB157" i="4" s="1"/>
  <c r="BQ157" i="4" s="1"/>
  <c r="AX352" i="4"/>
  <c r="H157" i="4"/>
  <c r="H352" i="4"/>
  <c r="H121" i="4"/>
  <c r="BR351" i="4" l="1"/>
  <c r="G351" i="4" s="1"/>
  <c r="AV351" i="4"/>
  <c r="AU351" i="4"/>
  <c r="AD351" i="4"/>
  <c r="AH351" i="4" s="1"/>
  <c r="AL351" i="4" s="1"/>
  <c r="AP351" i="4" s="1"/>
  <c r="AT351" i="4" s="1"/>
  <c r="F351" i="4"/>
  <c r="AX351" i="4" l="1"/>
  <c r="H351" i="4"/>
  <c r="G386" i="4"/>
  <c r="AU386" i="4"/>
  <c r="AD386" i="4"/>
  <c r="AH386" i="4" s="1"/>
  <c r="AL386" i="4" s="1"/>
  <c r="AP386" i="4" s="1"/>
  <c r="AT386" i="4" s="1"/>
  <c r="F386" i="4"/>
  <c r="G107" i="4"/>
  <c r="AV107" i="4"/>
  <c r="AU107" i="4"/>
  <c r="AD107" i="4"/>
  <c r="AH107" i="4" s="1"/>
  <c r="AL107" i="4" s="1"/>
  <c r="AP107" i="4" s="1"/>
  <c r="AT107" i="4" s="1"/>
  <c r="F107" i="4"/>
  <c r="G71" i="4"/>
  <c r="AV71" i="4"/>
  <c r="AU71" i="4"/>
  <c r="AD71" i="4"/>
  <c r="AH71" i="4" s="1"/>
  <c r="AL71" i="4" s="1"/>
  <c r="AP71" i="4" s="1"/>
  <c r="AT71" i="4" s="1"/>
  <c r="F71" i="4"/>
  <c r="G42" i="4"/>
  <c r="AU42" i="4"/>
  <c r="AD42" i="4"/>
  <c r="AH42" i="4" s="1"/>
  <c r="AL42" i="4" s="1"/>
  <c r="AP42" i="4" s="1"/>
  <c r="AT42" i="4" s="1"/>
  <c r="F42" i="4"/>
  <c r="H42" i="4" l="1"/>
  <c r="H107" i="4"/>
  <c r="AX42" i="4"/>
  <c r="BB42" i="4" s="1"/>
  <c r="BQ42" i="4" s="1"/>
  <c r="AX107" i="4"/>
  <c r="BB107" i="4" s="1"/>
  <c r="BQ107" i="4" s="1"/>
  <c r="AX386" i="4"/>
  <c r="BB386" i="4" s="1"/>
  <c r="H386" i="4"/>
  <c r="AX71" i="4"/>
  <c r="BB71" i="4" s="1"/>
  <c r="BQ71" i="4" s="1"/>
  <c r="H71" i="4"/>
  <c r="G36" i="4"/>
  <c r="AV36" i="4"/>
  <c r="AU36" i="4"/>
  <c r="AD36" i="4"/>
  <c r="AH36" i="4" s="1"/>
  <c r="AL36" i="4" s="1"/>
  <c r="AP36" i="4" s="1"/>
  <c r="AT36" i="4" s="1"/>
  <c r="F36" i="4"/>
  <c r="AV124" i="4"/>
  <c r="AV112" i="4"/>
  <c r="AV26" i="4"/>
  <c r="AV28" i="4"/>
  <c r="AV16" i="4"/>
  <c r="AX36" i="4" l="1"/>
  <c r="BB36" i="4" s="1"/>
  <c r="BQ36" i="4" s="1"/>
  <c r="H36" i="4"/>
  <c r="AV160" i="4"/>
  <c r="AV46" i="4" l="1"/>
  <c r="G43" i="4"/>
  <c r="AV43" i="4"/>
  <c r="AU43" i="4"/>
  <c r="AD43" i="4"/>
  <c r="AH43" i="4" s="1"/>
  <c r="AL43" i="4" s="1"/>
  <c r="AP43" i="4" s="1"/>
  <c r="AT43" i="4" s="1"/>
  <c r="F43" i="4"/>
  <c r="G110" i="4"/>
  <c r="AV110" i="4"/>
  <c r="AU110" i="4"/>
  <c r="AD110" i="4"/>
  <c r="AH110" i="4" s="1"/>
  <c r="AL110" i="4" s="1"/>
  <c r="AP110" i="4" s="1"/>
  <c r="AT110" i="4" s="1"/>
  <c r="F110" i="4"/>
  <c r="G400" i="4"/>
  <c r="AU400" i="4"/>
  <c r="AD400" i="4"/>
  <c r="AH400" i="4" s="1"/>
  <c r="AL400" i="4" s="1"/>
  <c r="AP400" i="4" s="1"/>
  <c r="AT400" i="4" s="1"/>
  <c r="F400" i="4"/>
  <c r="G199" i="4"/>
  <c r="AU199" i="4"/>
  <c r="AD199" i="4"/>
  <c r="AH199" i="4" s="1"/>
  <c r="AL199" i="4" s="1"/>
  <c r="AP199" i="4" s="1"/>
  <c r="AT199" i="4" s="1"/>
  <c r="F199" i="4"/>
  <c r="G55" i="4"/>
  <c r="AU55" i="4"/>
  <c r="AD55" i="4"/>
  <c r="AH55" i="4" s="1"/>
  <c r="AL55" i="4" s="1"/>
  <c r="AP55" i="4" s="1"/>
  <c r="AT55" i="4" s="1"/>
  <c r="F55" i="4"/>
  <c r="AX400" i="4" l="1"/>
  <c r="BB400" i="4" s="1"/>
  <c r="BQ400" i="4" s="1"/>
  <c r="AX110" i="4"/>
  <c r="BB110" i="4" s="1"/>
  <c r="BQ110" i="4" s="1"/>
  <c r="AX43" i="4"/>
  <c r="BB43" i="4" s="1"/>
  <c r="BQ43" i="4" s="1"/>
  <c r="AX199" i="4"/>
  <c r="BB199" i="4" s="1"/>
  <c r="BQ199" i="4" s="1"/>
  <c r="H43" i="4"/>
  <c r="H400" i="4"/>
  <c r="H110" i="4"/>
  <c r="AX55" i="4"/>
  <c r="BB55" i="4" s="1"/>
  <c r="BQ55" i="4" s="1"/>
  <c r="H199" i="4"/>
  <c r="H55" i="4"/>
  <c r="G205" i="4" l="1"/>
  <c r="AU205" i="4"/>
  <c r="AD205" i="4"/>
  <c r="AH205" i="4" s="1"/>
  <c r="AL205" i="4" s="1"/>
  <c r="AP205" i="4" s="1"/>
  <c r="AT205" i="4" s="1"/>
  <c r="F205" i="4"/>
  <c r="AU210" i="4"/>
  <c r="AU207" i="4"/>
  <c r="AU201" i="4"/>
  <c r="AU152" i="4"/>
  <c r="AU149" i="4"/>
  <c r="AU203" i="4"/>
  <c r="AU202" i="4"/>
  <c r="AU197" i="4"/>
  <c r="AU190" i="4"/>
  <c r="AU187" i="4"/>
  <c r="AU185" i="4"/>
  <c r="AU176" i="4"/>
  <c r="AU182" i="4"/>
  <c r="AU179" i="4"/>
  <c r="AU360" i="4"/>
  <c r="AU368" i="4"/>
  <c r="AU172" i="4"/>
  <c r="AU171" i="4"/>
  <c r="AU160" i="4"/>
  <c r="AU159" i="4"/>
  <c r="AU156" i="4"/>
  <c r="AU155" i="4"/>
  <c r="AU154" i="4"/>
  <c r="AU148" i="4"/>
  <c r="AU147" i="4"/>
  <c r="AU146" i="4"/>
  <c r="AU375" i="4"/>
  <c r="AU144" i="4"/>
  <c r="AU138" i="4"/>
  <c r="AU137" i="4"/>
  <c r="AU136" i="4"/>
  <c r="AU134" i="4"/>
  <c r="AU133" i="4"/>
  <c r="AU132" i="4"/>
  <c r="AU130" i="4"/>
  <c r="AU129" i="4"/>
  <c r="AU348" i="4"/>
  <c r="AU124" i="4"/>
  <c r="AU123" i="4"/>
  <c r="AU119" i="4"/>
  <c r="AU116" i="4"/>
  <c r="AU112" i="4"/>
  <c r="AU111" i="4"/>
  <c r="AU109" i="4"/>
  <c r="AU105" i="4"/>
  <c r="AU345" i="4"/>
  <c r="AU104" i="4"/>
  <c r="AU98" i="4"/>
  <c r="AU347" i="4"/>
  <c r="AU96" i="4"/>
  <c r="AU95" i="4"/>
  <c r="AU94" i="4"/>
  <c r="AU89" i="4"/>
  <c r="AU87" i="4"/>
  <c r="AU82" i="4"/>
  <c r="AU79" i="4"/>
  <c r="AU78" i="4"/>
  <c r="AU77" i="4"/>
  <c r="AU76" i="4"/>
  <c r="AU74" i="4"/>
  <c r="AU68" i="4"/>
  <c r="AU67" i="4"/>
  <c r="AU66" i="4"/>
  <c r="AU63" i="4"/>
  <c r="AU61" i="4"/>
  <c r="AU60" i="4"/>
  <c r="AU59" i="4"/>
  <c r="AU56" i="4"/>
  <c r="AU54" i="4"/>
  <c r="AU53" i="4"/>
  <c r="AU62" i="4"/>
  <c r="AU52" i="4"/>
  <c r="AU51" i="4"/>
  <c r="AU49" i="4"/>
  <c r="AU46" i="4"/>
  <c r="AU45" i="4"/>
  <c r="AU44" i="4"/>
  <c r="AU47" i="4"/>
  <c r="AU41" i="4"/>
  <c r="AU385" i="4"/>
  <c r="AU37" i="4"/>
  <c r="AU35" i="4"/>
  <c r="AU33" i="4"/>
  <c r="AU31" i="4"/>
  <c r="AU30" i="4"/>
  <c r="AU27" i="4"/>
  <c r="AU26" i="4"/>
  <c r="AU25" i="4"/>
  <c r="AU24" i="4"/>
  <c r="AU371" i="4"/>
  <c r="AU22" i="4"/>
  <c r="AU19" i="4"/>
  <c r="AU18" i="4"/>
  <c r="AU16" i="4"/>
  <c r="AU13" i="4"/>
  <c r="AU370" i="4"/>
  <c r="AX205" i="4" l="1"/>
  <c r="BB205" i="4" s="1"/>
  <c r="BQ205" i="4" s="1"/>
  <c r="H205" i="4"/>
  <c r="G377" i="4"/>
  <c r="AV377" i="4"/>
  <c r="AU377" i="4"/>
  <c r="AD377" i="4"/>
  <c r="AH377" i="4" s="1"/>
  <c r="AL377" i="4" s="1"/>
  <c r="AP377" i="4" s="1"/>
  <c r="AT377" i="4" s="1"/>
  <c r="F377" i="4"/>
  <c r="G366" i="4"/>
  <c r="AV366" i="4"/>
  <c r="AU366" i="4"/>
  <c r="AD366" i="4"/>
  <c r="AH366" i="4" s="1"/>
  <c r="AL366" i="4" s="1"/>
  <c r="AP366" i="4" s="1"/>
  <c r="AT366" i="4" s="1"/>
  <c r="F366" i="4"/>
  <c r="AU162" i="4"/>
  <c r="AU350" i="4"/>
  <c r="AU150" i="4"/>
  <c r="AU34" i="4"/>
  <c r="BR346" i="4"/>
  <c r="G346" i="4" s="1"/>
  <c r="AV346" i="4"/>
  <c r="AU346" i="4"/>
  <c r="AD346" i="4"/>
  <c r="AH346" i="4" s="1"/>
  <c r="AL346" i="4" s="1"/>
  <c r="AP346" i="4" s="1"/>
  <c r="AT346" i="4" s="1"/>
  <c r="F346" i="4"/>
  <c r="BR358" i="4"/>
  <c r="G358" i="4" s="1"/>
  <c r="AV358" i="4"/>
  <c r="AU358" i="4"/>
  <c r="AD358" i="4"/>
  <c r="AH358" i="4" s="1"/>
  <c r="AL358" i="4" s="1"/>
  <c r="AP358" i="4" s="1"/>
  <c r="AT358" i="4" s="1"/>
  <c r="F358" i="4"/>
  <c r="AX358" i="4" l="1"/>
  <c r="AX366" i="4"/>
  <c r="BB366" i="4" s="1"/>
  <c r="AX377" i="4"/>
  <c r="BB377" i="4" s="1"/>
  <c r="H366" i="4"/>
  <c r="H377" i="4"/>
  <c r="AX346" i="4"/>
  <c r="H346" i="4"/>
  <c r="H358" i="4"/>
  <c r="BR345" i="4"/>
  <c r="G345" i="4" s="1"/>
  <c r="AV345" i="4"/>
  <c r="AR345" i="4"/>
  <c r="AQ345" i="4"/>
  <c r="AD345" i="4"/>
  <c r="AH345" i="4" s="1"/>
  <c r="AL345" i="4" s="1"/>
  <c r="AP345" i="4" s="1"/>
  <c r="F345" i="4"/>
  <c r="AT345" i="4" l="1"/>
  <c r="AX345" i="4" s="1"/>
  <c r="H345" i="4"/>
  <c r="G77" i="4"/>
  <c r="AD77" i="4"/>
  <c r="AH77" i="4" s="1"/>
  <c r="AL77" i="4" s="1"/>
  <c r="AP77" i="4" s="1"/>
  <c r="AT77" i="4" s="1"/>
  <c r="AX77" i="4" s="1"/>
  <c r="BB77" i="4" s="1"/>
  <c r="BQ77" i="4" s="1"/>
  <c r="F77" i="4"/>
  <c r="H77" i="4" l="1"/>
  <c r="BR344" i="4"/>
  <c r="AV344" i="4"/>
  <c r="AU344" i="4"/>
  <c r="AU401" i="4"/>
  <c r="AV209" i="4"/>
  <c r="AU209" i="4"/>
  <c r="AU206" i="4"/>
  <c r="BR342" i="4"/>
  <c r="AV201" i="4"/>
  <c r="AU200" i="4"/>
  <c r="AV342" i="4"/>
  <c r="AU342" i="4"/>
  <c r="AU196" i="4"/>
  <c r="AU191" i="4"/>
  <c r="AV365" i="4"/>
  <c r="AU365" i="4"/>
  <c r="BR360" i="4"/>
  <c r="AU186" i="4"/>
  <c r="AU180" i="4"/>
  <c r="AV179" i="4"/>
  <c r="AV360" i="4"/>
  <c r="AU178" i="4"/>
  <c r="AU177" i="4"/>
  <c r="BR359" i="4"/>
  <c r="BR357" i="4"/>
  <c r="BR350" i="4"/>
  <c r="AU173" i="4"/>
  <c r="AV171" i="4"/>
  <c r="AV170" i="4"/>
  <c r="AU170" i="4"/>
  <c r="AV406" i="4"/>
  <c r="AU406" i="4"/>
  <c r="AU166" i="4"/>
  <c r="AU164" i="4"/>
  <c r="AV359" i="4"/>
  <c r="AU359" i="4"/>
  <c r="AV357" i="4"/>
  <c r="AU357" i="4"/>
  <c r="AV159" i="4"/>
  <c r="AV158" i="4"/>
  <c r="AU158" i="4"/>
  <c r="AV350" i="4"/>
  <c r="BR349" i="4"/>
  <c r="AU142" i="4"/>
  <c r="AV349" i="4"/>
  <c r="AU349" i="4"/>
  <c r="AU388" i="4"/>
  <c r="AV136" i="4"/>
  <c r="AV135" i="4"/>
  <c r="AU135" i="4"/>
  <c r="BR348" i="4"/>
  <c r="BR356" i="4"/>
  <c r="BR341" i="4"/>
  <c r="AV133" i="4"/>
  <c r="AV129" i="4"/>
  <c r="AV128" i="4"/>
  <c r="AU128" i="4"/>
  <c r="AV127" i="4"/>
  <c r="AU127" i="4"/>
  <c r="AV348" i="4"/>
  <c r="AV126" i="4"/>
  <c r="AU126" i="4"/>
  <c r="AV125" i="4"/>
  <c r="AU125" i="4"/>
  <c r="AV356" i="4"/>
  <c r="AU356" i="4"/>
  <c r="AU120" i="4"/>
  <c r="AU117" i="4"/>
  <c r="AV116" i="4"/>
  <c r="AU115" i="4"/>
  <c r="AV341" i="4"/>
  <c r="AU341" i="4"/>
  <c r="AU114" i="4"/>
  <c r="AU113" i="4"/>
  <c r="AV111" i="4"/>
  <c r="AU373" i="4"/>
  <c r="AU106" i="4"/>
  <c r="AV105" i="4"/>
  <c r="AV104" i="4"/>
  <c r="AV103" i="4"/>
  <c r="AU103" i="4"/>
  <c r="BR347" i="4"/>
  <c r="AU100" i="4"/>
  <c r="AV347" i="4"/>
  <c r="AU97" i="4"/>
  <c r="AV93" i="4"/>
  <c r="AU93" i="4"/>
  <c r="AV92" i="4"/>
  <c r="AU92" i="4"/>
  <c r="AV91" i="4"/>
  <c r="AU91" i="4"/>
  <c r="AU90" i="4"/>
  <c r="AU84" i="4"/>
  <c r="AU75" i="4"/>
  <c r="AV73" i="4"/>
  <c r="AU73" i="4"/>
  <c r="AU70" i="4"/>
  <c r="AU69" i="4"/>
  <c r="BR343" i="4"/>
  <c r="BR340" i="4"/>
  <c r="BR339" i="4"/>
  <c r="AV372" i="4"/>
  <c r="AU372" i="4"/>
  <c r="AV343" i="4"/>
  <c r="AU343" i="4"/>
  <c r="AV340" i="4"/>
  <c r="AU340" i="4"/>
  <c r="AV62" i="4"/>
  <c r="AV339" i="4"/>
  <c r="AU339" i="4"/>
  <c r="AV54" i="4"/>
  <c r="AV53" i="4"/>
  <c r="BR338" i="4"/>
  <c r="BR355" i="4"/>
  <c r="AV50" i="4"/>
  <c r="AU50" i="4"/>
  <c r="AV48" i="4"/>
  <c r="AU48" i="4"/>
  <c r="AV47" i="4"/>
  <c r="AV338" i="4"/>
  <c r="AU338" i="4"/>
  <c r="AU40" i="4"/>
  <c r="AV385" i="4"/>
  <c r="AV39" i="4"/>
  <c r="AU39" i="4"/>
  <c r="AV399" i="4"/>
  <c r="AU399" i="4"/>
  <c r="AV38" i="4"/>
  <c r="AU38" i="4"/>
  <c r="AV355" i="4"/>
  <c r="AU355" i="4"/>
  <c r="AV34" i="4"/>
  <c r="AV33" i="4"/>
  <c r="BR337" i="4"/>
  <c r="AU29" i="4"/>
  <c r="AU139" i="4"/>
  <c r="AV337" i="4"/>
  <c r="AU337" i="4"/>
  <c r="AU23" i="4"/>
  <c r="AV19" i="4"/>
  <c r="AV14" i="4"/>
  <c r="AU14" i="4"/>
  <c r="AU12" i="4"/>
  <c r="AU403" i="4"/>
  <c r="AV403" i="4"/>
  <c r="AV368" i="4" l="1"/>
  <c r="BR325" i="4"/>
  <c r="AU15" i="4"/>
  <c r="AU145" i="4"/>
  <c r="AU101" i="4"/>
  <c r="AV67" i="4"/>
  <c r="AU17" i="4"/>
  <c r="AR97" i="4"/>
  <c r="AR210" i="4"/>
  <c r="AR207" i="4"/>
  <c r="AR203" i="4"/>
  <c r="AR202" i="4"/>
  <c r="AR196" i="4"/>
  <c r="AR187" i="4"/>
  <c r="AR185" i="4"/>
  <c r="AR176" i="4"/>
  <c r="AR182" i="4"/>
  <c r="AR179" i="4"/>
  <c r="AR172" i="4"/>
  <c r="AR170" i="4"/>
  <c r="AR350" i="4"/>
  <c r="AR155" i="4"/>
  <c r="AR152" i="4"/>
  <c r="AR154" i="4"/>
  <c r="AR147" i="4"/>
  <c r="AR145" i="4"/>
  <c r="AR375" i="4"/>
  <c r="AR138" i="4"/>
  <c r="AR137" i="4"/>
  <c r="AR133" i="4"/>
  <c r="AR132" i="4"/>
  <c r="AR130" i="4"/>
  <c r="AR348" i="4"/>
  <c r="AR123" i="4"/>
  <c r="AR120" i="4"/>
  <c r="AR119" i="4"/>
  <c r="AR115" i="4"/>
  <c r="AR113" i="4"/>
  <c r="AR109" i="4"/>
  <c r="AR399" i="4"/>
  <c r="AR106" i="4" l="1"/>
  <c r="AR104" i="4"/>
  <c r="AR103" i="4"/>
  <c r="AR100" i="4"/>
  <c r="AR98" i="4"/>
  <c r="AR347" i="4"/>
  <c r="AR96" i="4"/>
  <c r="AR92" i="4"/>
  <c r="AR76" i="4"/>
  <c r="AR67" i="4"/>
  <c r="AR66" i="4"/>
  <c r="AR63" i="4"/>
  <c r="AR48" i="4"/>
  <c r="AR41" i="4"/>
  <c r="AR30" i="4"/>
  <c r="AR26" i="4"/>
  <c r="AR25" i="4"/>
  <c r="AR29" i="4"/>
  <c r="AR23" i="4"/>
  <c r="AR22" i="4"/>
  <c r="AR18" i="4"/>
  <c r="AR13" i="4"/>
  <c r="AR370" i="4"/>
  <c r="G344" i="4"/>
  <c r="AR344" i="4"/>
  <c r="AQ344" i="4"/>
  <c r="AN344" i="4"/>
  <c r="AM344" i="4"/>
  <c r="AD344" i="4"/>
  <c r="AH344" i="4" s="1"/>
  <c r="AL344" i="4" s="1"/>
  <c r="F344" i="4"/>
  <c r="G406" i="4"/>
  <c r="AR406" i="4"/>
  <c r="AQ406" i="4"/>
  <c r="AD406" i="4"/>
  <c r="AH406" i="4" s="1"/>
  <c r="AL406" i="4" s="1"/>
  <c r="AP406" i="4" s="1"/>
  <c r="F406" i="4"/>
  <c r="G359" i="4"/>
  <c r="AR359" i="4"/>
  <c r="AQ359" i="4"/>
  <c r="AD359" i="4"/>
  <c r="AH359" i="4" s="1"/>
  <c r="AL359" i="4" s="1"/>
  <c r="AP359" i="4" s="1"/>
  <c r="F359" i="4"/>
  <c r="G162" i="4"/>
  <c r="AQ162" i="4"/>
  <c r="AR162" i="4"/>
  <c r="AD162" i="4"/>
  <c r="AH162" i="4" s="1"/>
  <c r="AL162" i="4" s="1"/>
  <c r="AP162" i="4" s="1"/>
  <c r="F162" i="4"/>
  <c r="AP344" i="4" l="1"/>
  <c r="AT344" i="4" s="1"/>
  <c r="AX344" i="4" s="1"/>
  <c r="AT406" i="4"/>
  <c r="AX406" i="4" s="1"/>
  <c r="BB406" i="4" s="1"/>
  <c r="BQ406" i="4" s="1"/>
  <c r="AT359" i="4"/>
  <c r="AX359" i="4" s="1"/>
  <c r="AT162" i="4"/>
  <c r="AX162" i="4" s="1"/>
  <c r="BB162" i="4" s="1"/>
  <c r="BQ162" i="4" s="1"/>
  <c r="H406" i="4"/>
  <c r="H344" i="4"/>
  <c r="H359" i="4"/>
  <c r="H162" i="4"/>
  <c r="AR142" i="4" l="1"/>
  <c r="AQ142" i="4"/>
  <c r="AD142" i="4"/>
  <c r="AH142" i="4" s="1"/>
  <c r="AL142" i="4" s="1"/>
  <c r="AP142" i="4" s="1"/>
  <c r="AT142" i="4" l="1"/>
  <c r="AX142" i="4" s="1"/>
  <c r="BB142" i="4" s="1"/>
  <c r="BQ142" i="4" s="1"/>
  <c r="G142" i="4"/>
  <c r="F142" i="4"/>
  <c r="H142" i="4" l="1"/>
  <c r="G388" i="4"/>
  <c r="AR388" i="4"/>
  <c r="AQ388" i="4"/>
  <c r="AL388" i="4"/>
  <c r="AP388" i="4" s="1"/>
  <c r="AD388" i="4"/>
  <c r="F388" i="4"/>
  <c r="G126" i="4"/>
  <c r="AR126" i="4"/>
  <c r="AQ126" i="4"/>
  <c r="AD126" i="4"/>
  <c r="AH126" i="4" s="1"/>
  <c r="AL126" i="4" s="1"/>
  <c r="AP126" i="4" s="1"/>
  <c r="F126" i="4"/>
  <c r="AT126" i="4" l="1"/>
  <c r="AX126" i="4" s="1"/>
  <c r="BB126" i="4" s="1"/>
  <c r="BQ126" i="4" s="1"/>
  <c r="AT388" i="4"/>
  <c r="AX388" i="4" s="1"/>
  <c r="BB388" i="4" s="1"/>
  <c r="H388" i="4"/>
  <c r="H126" i="4"/>
  <c r="G12" i="4" l="1"/>
  <c r="AR12" i="4"/>
  <c r="AQ12" i="4"/>
  <c r="AD12" i="4"/>
  <c r="AH12" i="4" s="1"/>
  <c r="AL12" i="4" s="1"/>
  <c r="AP12" i="4" s="1"/>
  <c r="F12" i="4"/>
  <c r="AR117" i="4"/>
  <c r="AR112" i="4"/>
  <c r="AR95" i="4"/>
  <c r="AR94" i="4"/>
  <c r="AR79" i="4"/>
  <c r="AR385" i="4"/>
  <c r="AT12" i="4" l="1"/>
  <c r="AX12" i="4" s="1"/>
  <c r="BB12" i="4" s="1"/>
  <c r="BQ12" i="4" s="1"/>
  <c r="H12" i="4"/>
  <c r="AQ154" i="4"/>
  <c r="AQ146" i="4"/>
  <c r="AQ115" i="4"/>
  <c r="AQ109" i="4"/>
  <c r="AQ97" i="4"/>
  <c r="AQ340" i="4"/>
  <c r="AQ59" i="4"/>
  <c r="AQ44" i="4"/>
  <c r="AQ41" i="4"/>
  <c r="AQ31" i="4"/>
  <c r="AQ139" i="4"/>
  <c r="G343" i="4" l="1"/>
  <c r="AR343" i="4"/>
  <c r="AQ343" i="4"/>
  <c r="AN343" i="4"/>
  <c r="AM343" i="4"/>
  <c r="AD343" i="4"/>
  <c r="AH343" i="4" s="1"/>
  <c r="AL343" i="4" s="1"/>
  <c r="F343" i="4"/>
  <c r="G373" i="4"/>
  <c r="AR373" i="4"/>
  <c r="AQ373" i="4"/>
  <c r="AD373" i="4"/>
  <c r="AH373" i="4" s="1"/>
  <c r="AL373" i="4" s="1"/>
  <c r="AP373" i="4" s="1"/>
  <c r="F373" i="4"/>
  <c r="AP343" i="4" l="1"/>
  <c r="AT343" i="4" s="1"/>
  <c r="AX343" i="4" s="1"/>
  <c r="AT373" i="4"/>
  <c r="AX373" i="4" s="1"/>
  <c r="BB373" i="4" s="1"/>
  <c r="H343" i="4"/>
  <c r="H373" i="4"/>
  <c r="AQ401" i="4"/>
  <c r="G401" i="4"/>
  <c r="AR401" i="4"/>
  <c r="AN401" i="4"/>
  <c r="AM401" i="4"/>
  <c r="AD401" i="4"/>
  <c r="AH401" i="4" s="1"/>
  <c r="AL401" i="4" s="1"/>
  <c r="F401" i="4"/>
  <c r="BR336" i="4"/>
  <c r="G336" i="4" s="1"/>
  <c r="AR336" i="4"/>
  <c r="AQ336" i="4"/>
  <c r="AD336" i="4"/>
  <c r="AH336" i="4" s="1"/>
  <c r="AL336" i="4" s="1"/>
  <c r="AP336" i="4" s="1"/>
  <c r="F336" i="4"/>
  <c r="G372" i="4"/>
  <c r="AQ372" i="4"/>
  <c r="AR372" i="4"/>
  <c r="AD372" i="4"/>
  <c r="AH372" i="4" s="1"/>
  <c r="AL372" i="4" s="1"/>
  <c r="AP372" i="4" s="1"/>
  <c r="F372" i="4"/>
  <c r="AT372" i="4" l="1"/>
  <c r="AX372" i="4" s="1"/>
  <c r="BB372" i="4" s="1"/>
  <c r="AP401" i="4"/>
  <c r="AT401" i="4" s="1"/>
  <c r="AX401" i="4" s="1"/>
  <c r="BB401" i="4" s="1"/>
  <c r="BQ401" i="4" s="1"/>
  <c r="H401" i="4"/>
  <c r="H336" i="4"/>
  <c r="H372" i="4"/>
  <c r="AQ210" i="4"/>
  <c r="AQ209" i="4"/>
  <c r="AQ207" i="4"/>
  <c r="AQ206" i="4"/>
  <c r="AQ200" i="4"/>
  <c r="AQ203" i="4"/>
  <c r="AQ202" i="4"/>
  <c r="AQ197" i="4"/>
  <c r="AQ196" i="4"/>
  <c r="AQ191" i="4"/>
  <c r="AQ190" i="4"/>
  <c r="AQ187" i="4"/>
  <c r="AQ186" i="4"/>
  <c r="AQ185" i="4"/>
  <c r="AQ176" i="4"/>
  <c r="AQ180" i="4"/>
  <c r="AQ179" i="4"/>
  <c r="AQ360" i="4"/>
  <c r="AQ178" i="4"/>
  <c r="AQ173" i="4"/>
  <c r="AQ166" i="4"/>
  <c r="AQ357" i="4"/>
  <c r="AQ160" i="4"/>
  <c r="AQ158" i="4"/>
  <c r="AQ156" i="4"/>
  <c r="AQ155" i="4"/>
  <c r="AQ152" i="4"/>
  <c r="AQ150" i="4"/>
  <c r="AQ149" i="4"/>
  <c r="AQ148" i="4"/>
  <c r="AQ147" i="4"/>
  <c r="AQ375" i="4"/>
  <c r="AQ138" i="4"/>
  <c r="AQ136" i="4"/>
  <c r="AQ135" i="4"/>
  <c r="AQ134" i="4"/>
  <c r="AQ130" i="4"/>
  <c r="AQ125" i="4"/>
  <c r="AQ124" i="4"/>
  <c r="AQ356" i="4"/>
  <c r="AQ119" i="4"/>
  <c r="AQ335" i="4"/>
  <c r="AQ114" i="4"/>
  <c r="AQ112" i="4"/>
  <c r="AQ333" i="4"/>
  <c r="AQ106" i="4"/>
  <c r="AQ331" i="4"/>
  <c r="BR331" i="4"/>
  <c r="G331" i="4" s="1"/>
  <c r="AR331" i="4"/>
  <c r="AD331" i="4"/>
  <c r="AH331" i="4" s="1"/>
  <c r="AL331" i="4" s="1"/>
  <c r="AP331" i="4" s="1"/>
  <c r="F331" i="4"/>
  <c r="H331" i="4" l="1"/>
  <c r="AT331" i="4"/>
  <c r="AQ105" i="4"/>
  <c r="AQ104" i="4"/>
  <c r="AQ101" i="4"/>
  <c r="AQ98" i="4"/>
  <c r="AQ96" i="4"/>
  <c r="AQ95" i="4"/>
  <c r="AQ94" i="4"/>
  <c r="AQ93" i="4"/>
  <c r="AQ91" i="4"/>
  <c r="AQ90" i="4"/>
  <c r="AQ89" i="4"/>
  <c r="AQ87" i="4"/>
  <c r="AQ329" i="4"/>
  <c r="AQ82" i="4"/>
  <c r="AQ79" i="4"/>
  <c r="AQ76" i="4"/>
  <c r="AQ75" i="4"/>
  <c r="AQ70" i="4"/>
  <c r="AQ69" i="4"/>
  <c r="AQ68" i="4"/>
  <c r="AQ66" i="4"/>
  <c r="AQ63" i="4"/>
  <c r="AQ61" i="4"/>
  <c r="AQ56" i="4"/>
  <c r="AQ62" i="4"/>
  <c r="AQ52" i="4"/>
  <c r="AQ50" i="4"/>
  <c r="AQ51" i="4"/>
  <c r="AQ46" i="4"/>
  <c r="AQ45" i="4"/>
  <c r="AQ48" i="4"/>
  <c r="AQ47" i="4"/>
  <c r="AQ40" i="4"/>
  <c r="AQ385" i="4"/>
  <c r="AQ35" i="4"/>
  <c r="AQ33" i="4"/>
  <c r="AQ27" i="4"/>
  <c r="AQ332" i="4"/>
  <c r="AQ371" i="4"/>
  <c r="AQ18" i="4"/>
  <c r="AQ17" i="4"/>
  <c r="AQ16" i="4"/>
  <c r="AQ15" i="4"/>
  <c r="AQ13" i="4"/>
  <c r="AQ84" i="4" l="1"/>
  <c r="AQ378" i="4"/>
  <c r="AQ164" i="4" l="1"/>
  <c r="G170" i="4" l="1"/>
  <c r="AQ170" i="4"/>
  <c r="AD170" i="4"/>
  <c r="AH170" i="4" s="1"/>
  <c r="AL170" i="4" s="1"/>
  <c r="AP170" i="4" s="1"/>
  <c r="F170" i="4"/>
  <c r="G138" i="4"/>
  <c r="AL138" i="4"/>
  <c r="AP138" i="4" s="1"/>
  <c r="AD138" i="4"/>
  <c r="F138" i="4"/>
  <c r="G132" i="4"/>
  <c r="AQ132" i="4"/>
  <c r="AD132" i="4"/>
  <c r="AH132" i="4" s="1"/>
  <c r="AL132" i="4" s="1"/>
  <c r="AP132" i="4" s="1"/>
  <c r="F132" i="4"/>
  <c r="AT138" i="4" l="1"/>
  <c r="AX138" i="4" s="1"/>
  <c r="BB138" i="4" s="1"/>
  <c r="BQ138" i="4" s="1"/>
  <c r="H170" i="4"/>
  <c r="AT132" i="4"/>
  <c r="AX132" i="4" s="1"/>
  <c r="BB132" i="4" s="1"/>
  <c r="BQ132" i="4" s="1"/>
  <c r="H138" i="4"/>
  <c r="AT170" i="4"/>
  <c r="AX170" i="4" s="1"/>
  <c r="BB170" i="4" s="1"/>
  <c r="BQ170" i="4" s="1"/>
  <c r="H132" i="4"/>
  <c r="BR328" i="4" l="1"/>
  <c r="G328" i="4" s="1"/>
  <c r="AR328" i="4"/>
  <c r="AQ328" i="4"/>
  <c r="AD328" i="4"/>
  <c r="AH328" i="4" s="1"/>
  <c r="AL328" i="4" s="1"/>
  <c r="AP328" i="4" s="1"/>
  <c r="F328" i="4"/>
  <c r="G172" i="4"/>
  <c r="AQ172" i="4"/>
  <c r="AD172" i="4"/>
  <c r="AH172" i="4" s="1"/>
  <c r="AL172" i="4" s="1"/>
  <c r="AP172" i="4" s="1"/>
  <c r="F172" i="4"/>
  <c r="BR324" i="4"/>
  <c r="G324" i="4" s="1"/>
  <c r="AR324" i="4"/>
  <c r="AQ324" i="4"/>
  <c r="AD324" i="4"/>
  <c r="AH324" i="4" s="1"/>
  <c r="AL324" i="4" s="1"/>
  <c r="AP324" i="4" s="1"/>
  <c r="F324" i="4"/>
  <c r="G30" i="4"/>
  <c r="AQ30" i="4"/>
  <c r="AD30" i="4"/>
  <c r="AH30" i="4" s="1"/>
  <c r="AL30" i="4" s="1"/>
  <c r="AP30" i="4" s="1"/>
  <c r="F30" i="4"/>
  <c r="G371" i="4"/>
  <c r="AR371" i="4"/>
  <c r="AD371" i="4"/>
  <c r="AH371" i="4" s="1"/>
  <c r="AL371" i="4" s="1"/>
  <c r="AP371" i="4" s="1"/>
  <c r="F371" i="4"/>
  <c r="AT328" i="4" l="1"/>
  <c r="AT30" i="4"/>
  <c r="AX30" i="4" s="1"/>
  <c r="BB30" i="4" s="1"/>
  <c r="BQ30" i="4" s="1"/>
  <c r="AT172" i="4"/>
  <c r="AX172" i="4" s="1"/>
  <c r="BB172" i="4" s="1"/>
  <c r="BQ172" i="4" s="1"/>
  <c r="AT371" i="4"/>
  <c r="AX371" i="4" s="1"/>
  <c r="BB371" i="4" s="1"/>
  <c r="H328" i="4"/>
  <c r="H30" i="4"/>
  <c r="AT324" i="4"/>
  <c r="H172" i="4"/>
  <c r="H324" i="4"/>
  <c r="H371" i="4"/>
  <c r="F370" i="4" l="1"/>
  <c r="G207" i="4" l="1"/>
  <c r="AN207" i="4"/>
  <c r="AM207" i="4"/>
  <c r="AD207" i="4"/>
  <c r="AH207" i="4" s="1"/>
  <c r="AL207" i="4" s="1"/>
  <c r="F207" i="4"/>
  <c r="G176" i="4"/>
  <c r="AD176" i="4"/>
  <c r="AH176" i="4" s="1"/>
  <c r="AL176" i="4" s="1"/>
  <c r="AP176" i="4" s="1"/>
  <c r="F176" i="4"/>
  <c r="AT176" i="4" l="1"/>
  <c r="AX176" i="4" s="1"/>
  <c r="BB176" i="4" s="1"/>
  <c r="BQ176" i="4" s="1"/>
  <c r="H176" i="4"/>
  <c r="AP207" i="4"/>
  <c r="AT207" i="4" s="1"/>
  <c r="AX207" i="4" s="1"/>
  <c r="BB207" i="4" s="1"/>
  <c r="BQ207" i="4" s="1"/>
  <c r="H207" i="4"/>
  <c r="G375" i="4"/>
  <c r="AN375" i="4"/>
  <c r="AM375" i="4"/>
  <c r="AD375" i="4"/>
  <c r="AH375" i="4" s="1"/>
  <c r="AL375" i="4" s="1"/>
  <c r="F375" i="4"/>
  <c r="G112" i="4"/>
  <c r="AD112" i="4"/>
  <c r="AH112" i="4" s="1"/>
  <c r="AL112" i="4" s="1"/>
  <c r="AP112" i="4" s="1"/>
  <c r="F112" i="4"/>
  <c r="G109" i="4"/>
  <c r="AD109" i="4"/>
  <c r="AH109" i="4" s="1"/>
  <c r="AL109" i="4" s="1"/>
  <c r="AP109" i="4" s="1"/>
  <c r="F109" i="4"/>
  <c r="H112" i="4" l="1"/>
  <c r="H375" i="4"/>
  <c r="AT109" i="4"/>
  <c r="AX109" i="4" s="1"/>
  <c r="BB109" i="4" s="1"/>
  <c r="BQ109" i="4" s="1"/>
  <c r="AP375" i="4"/>
  <c r="AT375" i="4" s="1"/>
  <c r="AX375" i="4" s="1"/>
  <c r="BB375" i="4" s="1"/>
  <c r="AT112" i="4"/>
  <c r="AX112" i="4" s="1"/>
  <c r="BB112" i="4" s="1"/>
  <c r="BQ112" i="4" s="1"/>
  <c r="H109" i="4"/>
  <c r="BR329" i="4" l="1"/>
  <c r="G329" i="4" s="1"/>
  <c r="AR329" i="4"/>
  <c r="AD329" i="4"/>
  <c r="AH329" i="4" s="1"/>
  <c r="AL329" i="4" s="1"/>
  <c r="AP329" i="4" s="1"/>
  <c r="F329" i="4"/>
  <c r="G27" i="4"/>
  <c r="AR27" i="4"/>
  <c r="AD27" i="4"/>
  <c r="AH27" i="4" s="1"/>
  <c r="AL27" i="4" s="1"/>
  <c r="AP27" i="4" s="1"/>
  <c r="F27" i="4"/>
  <c r="BR322" i="4"/>
  <c r="BR323" i="4"/>
  <c r="BR321" i="4"/>
  <c r="BR320" i="4"/>
  <c r="BR327" i="4"/>
  <c r="BR335" i="4"/>
  <c r="BR330" i="4"/>
  <c r="BR333" i="4"/>
  <c r="BR319" i="4"/>
  <c r="BR326" i="4"/>
  <c r="BR317" i="4"/>
  <c r="BR318" i="4"/>
  <c r="BR332" i="4"/>
  <c r="BR334" i="4"/>
  <c r="G370" i="4"/>
  <c r="H370" i="4" s="1"/>
  <c r="AQ316" i="4"/>
  <c r="AQ127" i="4"/>
  <c r="H329" i="4" l="1"/>
  <c r="AT27" i="4"/>
  <c r="AX27" i="4" s="1"/>
  <c r="BB27" i="4" s="1"/>
  <c r="BQ27" i="4" s="1"/>
  <c r="AT329" i="4"/>
  <c r="H27" i="4"/>
  <c r="AQ330" i="4"/>
  <c r="AQ318" i="4" l="1"/>
  <c r="AQ370" i="4"/>
  <c r="AH370" i="4"/>
  <c r="AL370" i="4" s="1"/>
  <c r="AP370" i="4" s="1"/>
  <c r="AQ28" i="4"/>
  <c r="G403" i="4"/>
  <c r="AR403" i="4"/>
  <c r="AQ403" i="4"/>
  <c r="AN403" i="4"/>
  <c r="AM403" i="4"/>
  <c r="AJ403" i="4"/>
  <c r="AI403" i="4"/>
  <c r="AF403" i="4"/>
  <c r="AD403" i="4"/>
  <c r="F403" i="4"/>
  <c r="AN70" i="4"/>
  <c r="AN69" i="4"/>
  <c r="AN46" i="4"/>
  <c r="AH403" i="4" l="1"/>
  <c r="AL403" i="4" s="1"/>
  <c r="AP403" i="4" s="1"/>
  <c r="AT403" i="4" s="1"/>
  <c r="AX403" i="4" s="1"/>
  <c r="BB403" i="4" s="1"/>
  <c r="BQ403" i="4" s="1"/>
  <c r="AT370" i="4"/>
  <c r="AX370" i="4" s="1"/>
  <c r="BB370" i="4" s="1"/>
  <c r="H403" i="4"/>
  <c r="AN154" i="4"/>
  <c r="G203" i="4" l="1"/>
  <c r="AN203" i="4"/>
  <c r="AM203" i="4"/>
  <c r="AD203" i="4"/>
  <c r="AH203" i="4" s="1"/>
  <c r="AL203" i="4" s="1"/>
  <c r="F203" i="4"/>
  <c r="AN210" i="4"/>
  <c r="AN209" i="4"/>
  <c r="AN206" i="4"/>
  <c r="AN378" i="4"/>
  <c r="AN200" i="4"/>
  <c r="AN202" i="4"/>
  <c r="AN197" i="4"/>
  <c r="AN191" i="4"/>
  <c r="AN187" i="4"/>
  <c r="AN185" i="4"/>
  <c r="AN178" i="4"/>
  <c r="AN166" i="4"/>
  <c r="AN321" i="4"/>
  <c r="AN160" i="4"/>
  <c r="AN158" i="4"/>
  <c r="AN156" i="4"/>
  <c r="AN152" i="4"/>
  <c r="AN150" i="4"/>
  <c r="AN149" i="4"/>
  <c r="AN148" i="4"/>
  <c r="AN147" i="4"/>
  <c r="AN145" i="4"/>
  <c r="AN320" i="4"/>
  <c r="G320" i="4"/>
  <c r="AR320" i="4"/>
  <c r="AQ320" i="4"/>
  <c r="AM320" i="4"/>
  <c r="AL320" i="4"/>
  <c r="AD320" i="4"/>
  <c r="F320" i="4"/>
  <c r="AN134" i="4"/>
  <c r="AN133" i="4"/>
  <c r="AN130" i="4"/>
  <c r="AN125" i="4"/>
  <c r="AN124" i="4"/>
  <c r="AN123" i="4"/>
  <c r="AN356" i="4"/>
  <c r="AN120" i="4"/>
  <c r="AN115" i="4"/>
  <c r="AN335" i="4"/>
  <c r="AN113" i="4"/>
  <c r="AN330" i="4"/>
  <c r="AR319" i="4"/>
  <c r="AQ319" i="4"/>
  <c r="G319" i="4"/>
  <c r="AN319" i="4"/>
  <c r="AM319" i="4"/>
  <c r="AD319" i="4"/>
  <c r="AH319" i="4" s="1"/>
  <c r="AL319" i="4" s="1"/>
  <c r="F319" i="4"/>
  <c r="AP319" i="4" l="1"/>
  <c r="AT319" i="4" s="1"/>
  <c r="AP320" i="4"/>
  <c r="AT320" i="4" s="1"/>
  <c r="H319" i="4"/>
  <c r="AP203" i="4"/>
  <c r="AT203" i="4" s="1"/>
  <c r="AX203" i="4" s="1"/>
  <c r="BB203" i="4" s="1"/>
  <c r="BQ203" i="4" s="1"/>
  <c r="H203" i="4"/>
  <c r="H320" i="4"/>
  <c r="AN333" i="4" l="1"/>
  <c r="AN103" i="4"/>
  <c r="AN101" i="4"/>
  <c r="AN100" i="4"/>
  <c r="AN98" i="4"/>
  <c r="AN347" i="4"/>
  <c r="AN97" i="4"/>
  <c r="AN94" i="4"/>
  <c r="AN93" i="4"/>
  <c r="AN90" i="4"/>
  <c r="AN89" i="4"/>
  <c r="AN87" i="4"/>
  <c r="AN76" i="4"/>
  <c r="AN75" i="4"/>
  <c r="AN68" i="4"/>
  <c r="AN66" i="4"/>
  <c r="AN63" i="4"/>
  <c r="AN340" i="4"/>
  <c r="AN61" i="4"/>
  <c r="AN59" i="4"/>
  <c r="AN56" i="4"/>
  <c r="AN62" i="4"/>
  <c r="AN52" i="4"/>
  <c r="AN44" i="4"/>
  <c r="AN48" i="4"/>
  <c r="AN47" i="4"/>
  <c r="AN40" i="4"/>
  <c r="AN39" i="4"/>
  <c r="AN35" i="4"/>
  <c r="AN33" i="4"/>
  <c r="AN31" i="4"/>
  <c r="AN332" i="4"/>
  <c r="AN139" i="4"/>
  <c r="AN23" i="4"/>
  <c r="AN334" i="4"/>
  <c r="AN18" i="4"/>
  <c r="AN15" i="4"/>
  <c r="F326" i="4" l="1"/>
  <c r="G326" i="4"/>
  <c r="AR326" i="4"/>
  <c r="AQ326" i="4"/>
  <c r="AN326" i="4"/>
  <c r="AM326" i="4"/>
  <c r="AD326" i="4"/>
  <c r="AH326" i="4" s="1"/>
  <c r="AL326" i="4" s="1"/>
  <c r="G104" i="4"/>
  <c r="AN104" i="4"/>
  <c r="AM104" i="4"/>
  <c r="AD104" i="4"/>
  <c r="AH104" i="4" s="1"/>
  <c r="AL104" i="4" s="1"/>
  <c r="F104" i="4"/>
  <c r="G16" i="4"/>
  <c r="AR16" i="4"/>
  <c r="AN16" i="4"/>
  <c r="AM16" i="4"/>
  <c r="AD16" i="4"/>
  <c r="AH16" i="4" s="1"/>
  <c r="AL16" i="4" s="1"/>
  <c r="F16" i="4"/>
  <c r="AP326" i="4" l="1"/>
  <c r="AT326" i="4" s="1"/>
  <c r="AP104" i="4"/>
  <c r="AT104" i="4" s="1"/>
  <c r="AX104" i="4" s="1"/>
  <c r="BB104" i="4" s="1"/>
  <c r="BQ104" i="4" s="1"/>
  <c r="H326" i="4"/>
  <c r="AP16" i="4"/>
  <c r="AT16" i="4" s="1"/>
  <c r="AX16" i="4" s="1"/>
  <c r="BB16" i="4" s="1"/>
  <c r="BQ16" i="4" s="1"/>
  <c r="H104" i="4"/>
  <c r="H16" i="4"/>
  <c r="AN137" i="4" l="1"/>
  <c r="BR288" i="4"/>
  <c r="AN288" i="4"/>
  <c r="AM288" i="4"/>
  <c r="AN311" i="4"/>
  <c r="AN196" i="4" l="1"/>
  <c r="AN177" i="4"/>
  <c r="AN159" i="4"/>
  <c r="AN135" i="4"/>
  <c r="AN119" i="4" l="1"/>
  <c r="AN117" i="4"/>
  <c r="AN116" i="4"/>
  <c r="AN92" i="4"/>
  <c r="AN82" i="4"/>
  <c r="AN318" i="4"/>
  <c r="AN45" i="4"/>
  <c r="AN41" i="4"/>
  <c r="AN385" i="4"/>
  <c r="AN25" i="4"/>
  <c r="AN22" i="4"/>
  <c r="AN17" i="4"/>
  <c r="AN14" i="4"/>
  <c r="AN129" i="4" l="1"/>
  <c r="AN91" i="4"/>
  <c r="AN323" i="4"/>
  <c r="AN164" i="4"/>
  <c r="AN106" i="4"/>
  <c r="AN74" i="4"/>
  <c r="AN28" i="4"/>
  <c r="G321" i="4"/>
  <c r="AR321" i="4"/>
  <c r="AQ321" i="4"/>
  <c r="AM321" i="4"/>
  <c r="AD321" i="4"/>
  <c r="AH321" i="4" s="1"/>
  <c r="AL321" i="4" s="1"/>
  <c r="F321" i="4"/>
  <c r="BR310" i="4"/>
  <c r="G310" i="4" s="1"/>
  <c r="AR310" i="4"/>
  <c r="AQ310" i="4"/>
  <c r="AN310" i="4"/>
  <c r="AM310" i="4"/>
  <c r="AD310" i="4"/>
  <c r="AH310" i="4" s="1"/>
  <c r="AL310" i="4" s="1"/>
  <c r="F310" i="4"/>
  <c r="G202" i="4"/>
  <c r="AM202" i="4"/>
  <c r="AJ202" i="4"/>
  <c r="AI202" i="4"/>
  <c r="AF202" i="4"/>
  <c r="AE202" i="4"/>
  <c r="AD202" i="4"/>
  <c r="F202" i="4"/>
  <c r="F137" i="4"/>
  <c r="AP321" i="4" l="1"/>
  <c r="AT321" i="4" s="1"/>
  <c r="AP310" i="4"/>
  <c r="AT310" i="4" s="1"/>
  <c r="H321" i="4"/>
  <c r="H310" i="4"/>
  <c r="H202" i="4"/>
  <c r="AH202" i="4"/>
  <c r="AL202" i="4" s="1"/>
  <c r="AP202" i="4" s="1"/>
  <c r="AT202" i="4" s="1"/>
  <c r="AX202" i="4" s="1"/>
  <c r="BB202" i="4" s="1"/>
  <c r="BQ202" i="4" s="1"/>
  <c r="AR322" i="4"/>
  <c r="AQ322" i="4"/>
  <c r="G322" i="4"/>
  <c r="AN322" i="4"/>
  <c r="AM322" i="4"/>
  <c r="AD322" i="4"/>
  <c r="AH322" i="4" s="1"/>
  <c r="AL322" i="4" s="1"/>
  <c r="F322" i="4"/>
  <c r="AR52" i="4"/>
  <c r="G52" i="4"/>
  <c r="AM52" i="4"/>
  <c r="AD52" i="4"/>
  <c r="AH52" i="4" s="1"/>
  <c r="AL52" i="4" s="1"/>
  <c r="F52" i="4"/>
  <c r="AP52" i="4" l="1"/>
  <c r="AT52" i="4" s="1"/>
  <c r="AX52" i="4" s="1"/>
  <c r="BB52" i="4" s="1"/>
  <c r="BQ52" i="4" s="1"/>
  <c r="AP322" i="4"/>
  <c r="AT322" i="4" s="1"/>
  <c r="H322" i="4"/>
  <c r="H52" i="4"/>
  <c r="AR378" i="4" l="1"/>
  <c r="G378" i="4"/>
  <c r="AM378" i="4"/>
  <c r="AD378" i="4"/>
  <c r="AH378" i="4" s="1"/>
  <c r="AL378" i="4" s="1"/>
  <c r="F378" i="4"/>
  <c r="AR136" i="4"/>
  <c r="G136" i="4"/>
  <c r="AN136" i="4"/>
  <c r="AM136" i="4"/>
  <c r="AD136" i="4"/>
  <c r="AH136" i="4" s="1"/>
  <c r="AL136" i="4" s="1"/>
  <c r="F136" i="4"/>
  <c r="AN317" i="4"/>
  <c r="AN337" i="4"/>
  <c r="H378" i="4" l="1"/>
  <c r="AP378" i="4"/>
  <c r="AT378" i="4" s="1"/>
  <c r="AX378" i="4" s="1"/>
  <c r="BB378" i="4" s="1"/>
  <c r="AP136" i="4"/>
  <c r="AT136" i="4" s="1"/>
  <c r="AX136" i="4" s="1"/>
  <c r="BB136" i="4" s="1"/>
  <c r="BQ136" i="4" s="1"/>
  <c r="H136" i="4"/>
  <c r="BR308" i="4"/>
  <c r="G308" i="4" s="1"/>
  <c r="AR308" i="4"/>
  <c r="AQ308" i="4"/>
  <c r="AN308" i="4"/>
  <c r="AM308" i="4"/>
  <c r="AD308" i="4"/>
  <c r="AH308" i="4" s="1"/>
  <c r="AL308" i="4" s="1"/>
  <c r="F308" i="4"/>
  <c r="H308" i="4" l="1"/>
  <c r="AP308" i="4"/>
  <c r="G333" i="4" l="1"/>
  <c r="AR333" i="4"/>
  <c r="AM333" i="4"/>
  <c r="AJ333" i="4"/>
  <c r="AI333" i="4"/>
  <c r="AD333" i="4"/>
  <c r="AH333" i="4" s="1"/>
  <c r="F333" i="4"/>
  <c r="AL333" i="4" l="1"/>
  <c r="AP333" i="4" s="1"/>
  <c r="AT333" i="4" s="1"/>
  <c r="H333" i="4"/>
  <c r="AR33" i="4" l="1"/>
  <c r="AR332" i="4"/>
  <c r="G332" i="4"/>
  <c r="AM332" i="4"/>
  <c r="AD332" i="4"/>
  <c r="AH332" i="4" s="1"/>
  <c r="AL332" i="4" s="1"/>
  <c r="F332" i="4"/>
  <c r="AJ313" i="4"/>
  <c r="BR313" i="4"/>
  <c r="G313" i="4" s="1"/>
  <c r="AR313" i="4"/>
  <c r="AQ313" i="4"/>
  <c r="AN313" i="4"/>
  <c r="AM313" i="4"/>
  <c r="AI313" i="4"/>
  <c r="AD313" i="4"/>
  <c r="AH313" i="4" s="1"/>
  <c r="F313" i="4"/>
  <c r="AM210" i="4"/>
  <c r="AM316" i="4"/>
  <c r="AM177" i="4"/>
  <c r="AM54" i="4"/>
  <c r="AM160" i="4"/>
  <c r="AM158" i="4"/>
  <c r="AM156" i="4"/>
  <c r="AM148" i="4"/>
  <c r="AM146" i="4"/>
  <c r="AM135" i="4"/>
  <c r="AM130" i="4"/>
  <c r="AM123" i="4"/>
  <c r="AM114" i="4"/>
  <c r="AM96" i="4"/>
  <c r="AM95" i="4"/>
  <c r="AM92" i="4"/>
  <c r="AM59" i="4"/>
  <c r="AP332" i="4" l="1"/>
  <c r="AT332" i="4" s="1"/>
  <c r="H332" i="4"/>
  <c r="H313" i="4"/>
  <c r="AL313" i="4"/>
  <c r="AP313" i="4" s="1"/>
  <c r="AT313" i="4" s="1"/>
  <c r="AM35" i="4"/>
  <c r="AM34" i="4"/>
  <c r="AM29" i="4"/>
  <c r="AM17" i="4"/>
  <c r="AQ137" i="4" l="1"/>
  <c r="G137" i="4"/>
  <c r="H137" i="4" s="1"/>
  <c r="AM137" i="4"/>
  <c r="AL137" i="4"/>
  <c r="AD137" i="4"/>
  <c r="AR307" i="4"/>
  <c r="AQ307" i="4"/>
  <c r="BR307" i="4"/>
  <c r="G307" i="4" s="1"/>
  <c r="AN307" i="4"/>
  <c r="AM307" i="4"/>
  <c r="AD307" i="4"/>
  <c r="AH307" i="4" s="1"/>
  <c r="AL307" i="4" s="1"/>
  <c r="F307" i="4"/>
  <c r="AM98" i="4"/>
  <c r="AM70" i="4"/>
  <c r="AM69" i="4"/>
  <c r="AM318" i="4"/>
  <c r="AP137" i="4" l="1"/>
  <c r="AT137" i="4" s="1"/>
  <c r="AX137" i="4" s="1"/>
  <c r="BB137" i="4" s="1"/>
  <c r="BQ137" i="4" s="1"/>
  <c r="AP307" i="4"/>
  <c r="AT307" i="4" s="1"/>
  <c r="H307" i="4"/>
  <c r="AQ348" i="4"/>
  <c r="G348" i="4"/>
  <c r="AN348" i="4"/>
  <c r="AM348" i="4"/>
  <c r="AD348" i="4"/>
  <c r="AH348" i="4" s="1"/>
  <c r="AL348" i="4" s="1"/>
  <c r="F348" i="4"/>
  <c r="AR318" i="4"/>
  <c r="G318" i="4"/>
  <c r="AD318" i="4"/>
  <c r="AH318" i="4" s="1"/>
  <c r="AL318" i="4" s="1"/>
  <c r="AP318" i="4" s="1"/>
  <c r="F318" i="4"/>
  <c r="AM302" i="4"/>
  <c r="AM159" i="4"/>
  <c r="AM134" i="4"/>
  <c r="AM335" i="4"/>
  <c r="AM399" i="4"/>
  <c r="AM28" i="4"/>
  <c r="G185" i="4"/>
  <c r="AM185" i="4"/>
  <c r="AD185" i="4"/>
  <c r="AH185" i="4" s="1"/>
  <c r="AL185" i="4" s="1"/>
  <c r="F185" i="4"/>
  <c r="AP348" i="4" l="1"/>
  <c r="AT348" i="4" s="1"/>
  <c r="AX348" i="4" s="1"/>
  <c r="AT318" i="4"/>
  <c r="H348" i="4"/>
  <c r="H318" i="4"/>
  <c r="AP185" i="4"/>
  <c r="AT185" i="4" s="1"/>
  <c r="AX185" i="4" s="1"/>
  <c r="BB185" i="4" s="1"/>
  <c r="BQ185" i="4" s="1"/>
  <c r="H185" i="4"/>
  <c r="AR342" i="4"/>
  <c r="AQ342" i="4"/>
  <c r="G342" i="4"/>
  <c r="AN342" i="4"/>
  <c r="AM342" i="4"/>
  <c r="AD342" i="4"/>
  <c r="AH342" i="4" s="1"/>
  <c r="AL342" i="4" s="1"/>
  <c r="F342" i="4"/>
  <c r="AP342" i="4" l="1"/>
  <c r="AT342" i="4" s="1"/>
  <c r="AX342" i="4" s="1"/>
  <c r="H342" i="4"/>
  <c r="AR316" i="4" l="1"/>
  <c r="BR316" i="4"/>
  <c r="G316" i="4" s="1"/>
  <c r="AN316" i="4"/>
  <c r="AD316" i="4"/>
  <c r="AH316" i="4" s="1"/>
  <c r="AL316" i="4" s="1"/>
  <c r="F316" i="4"/>
  <c r="AM129" i="4"/>
  <c r="AM76" i="4"/>
  <c r="AP316" i="4" l="1"/>
  <c r="AT316" i="4" s="1"/>
  <c r="H316" i="4"/>
  <c r="AR314" i="4"/>
  <c r="AQ314" i="4"/>
  <c r="BR314" i="4"/>
  <c r="G314" i="4" s="1"/>
  <c r="AN314" i="4"/>
  <c r="AM314" i="4"/>
  <c r="AD314" i="4"/>
  <c r="AH314" i="4" s="1"/>
  <c r="AL314" i="4" s="1"/>
  <c r="F314" i="4"/>
  <c r="AR325" i="4"/>
  <c r="AQ325" i="4"/>
  <c r="G325" i="4"/>
  <c r="AN325" i="4"/>
  <c r="AM325" i="4"/>
  <c r="AJ325" i="4"/>
  <c r="AI325" i="4"/>
  <c r="AF325" i="4"/>
  <c r="AE325" i="4"/>
  <c r="AD325" i="4"/>
  <c r="F325" i="4"/>
  <c r="AQ350" i="4"/>
  <c r="G350" i="4"/>
  <c r="AN350" i="4"/>
  <c r="AM350" i="4"/>
  <c r="AD350" i="4"/>
  <c r="AH350" i="4" s="1"/>
  <c r="AL350" i="4" s="1"/>
  <c r="F350" i="4"/>
  <c r="G155" i="4"/>
  <c r="AN155" i="4"/>
  <c r="AM155" i="4"/>
  <c r="AD155" i="4"/>
  <c r="AH155" i="4" s="1"/>
  <c r="AL155" i="4" s="1"/>
  <c r="F155" i="4"/>
  <c r="AP314" i="4" l="1"/>
  <c r="AT314" i="4" s="1"/>
  <c r="H314" i="4"/>
  <c r="AP350" i="4"/>
  <c r="AT350" i="4" s="1"/>
  <c r="AX350" i="4" s="1"/>
  <c r="AP155" i="4"/>
  <c r="AT155" i="4" s="1"/>
  <c r="AX155" i="4" s="1"/>
  <c r="BB155" i="4" s="1"/>
  <c r="BQ155" i="4" s="1"/>
  <c r="H350" i="4"/>
  <c r="H155" i="4"/>
  <c r="H325" i="4"/>
  <c r="AH325" i="4"/>
  <c r="AL325" i="4" s="1"/>
  <c r="AP325" i="4" s="1"/>
  <c r="AT325" i="4" s="1"/>
  <c r="AR311" i="4"/>
  <c r="AQ311" i="4"/>
  <c r="BR311" i="4"/>
  <c r="G311" i="4" s="1"/>
  <c r="AM311" i="4"/>
  <c r="AD311" i="4"/>
  <c r="AH311" i="4" s="1"/>
  <c r="AL311" i="4" s="1"/>
  <c r="F311" i="4"/>
  <c r="AR317" i="4"/>
  <c r="AQ317" i="4"/>
  <c r="G317" i="4"/>
  <c r="AM317" i="4"/>
  <c r="AD317" i="4"/>
  <c r="AH317" i="4" s="1"/>
  <c r="AL317" i="4" s="1"/>
  <c r="F317" i="4"/>
  <c r="G66" i="4"/>
  <c r="AM66" i="4"/>
  <c r="AD66" i="4"/>
  <c r="AH66" i="4" s="1"/>
  <c r="AL66" i="4" s="1"/>
  <c r="F66" i="4"/>
  <c r="AM197" i="4"/>
  <c r="AM190" i="4"/>
  <c r="AM79" i="4"/>
  <c r="AM48" i="4"/>
  <c r="AM33" i="4"/>
  <c r="G33" i="4"/>
  <c r="AJ33" i="4"/>
  <c r="AI33" i="4"/>
  <c r="AD33" i="4"/>
  <c r="AH33" i="4" s="1"/>
  <c r="F33" i="4"/>
  <c r="H311" i="4" l="1"/>
  <c r="H33" i="4"/>
  <c r="AP317" i="4"/>
  <c r="AT317" i="4" s="1"/>
  <c r="AP311" i="4"/>
  <c r="AT311" i="4" s="1"/>
  <c r="AL33" i="4"/>
  <c r="AP33" i="4" s="1"/>
  <c r="AT33" i="4" s="1"/>
  <c r="AX33" i="4" s="1"/>
  <c r="BB33" i="4" s="1"/>
  <c r="BQ33" i="4" s="1"/>
  <c r="H66" i="4"/>
  <c r="H317" i="4"/>
  <c r="AP66" i="4"/>
  <c r="AT66" i="4" s="1"/>
  <c r="AX66" i="4" s="1"/>
  <c r="BB66" i="4" s="1"/>
  <c r="BQ66" i="4" s="1"/>
  <c r="BR315" i="4"/>
  <c r="BR305" i="4"/>
  <c r="BR302" i="4"/>
  <c r="BR300" i="4"/>
  <c r="BR303" i="4"/>
  <c r="BR299" i="4"/>
  <c r="BR304" i="4"/>
  <c r="BR298" i="4"/>
  <c r="BR312" i="4"/>
  <c r="BR306" i="4"/>
  <c r="G59" i="4"/>
  <c r="BR309" i="4"/>
  <c r="BR301" i="4"/>
  <c r="BR297" i="4"/>
  <c r="AR209" i="4" l="1"/>
  <c r="AQ208" i="4"/>
  <c r="AR206" i="4"/>
  <c r="AR201" i="4"/>
  <c r="AQ201" i="4"/>
  <c r="AR200" i="4"/>
  <c r="AR197" i="4"/>
  <c r="AR191" i="4"/>
  <c r="AR315" i="4"/>
  <c r="AQ315" i="4"/>
  <c r="AR190" i="4"/>
  <c r="AR305" i="4"/>
  <c r="AQ305" i="4"/>
  <c r="AR365" i="4"/>
  <c r="AQ365" i="4"/>
  <c r="AR186" i="4"/>
  <c r="AQ182" i="4"/>
  <c r="AR180" i="4"/>
  <c r="AR360" i="4"/>
  <c r="AR178" i="4"/>
  <c r="AR177" i="4"/>
  <c r="AQ177" i="4"/>
  <c r="AR368" i="4"/>
  <c r="AQ368" i="4"/>
  <c r="AR173" i="4"/>
  <c r="AR171" i="4"/>
  <c r="AQ171" i="4"/>
  <c r="AR323" i="4"/>
  <c r="AQ323" i="4"/>
  <c r="AR302" i="4"/>
  <c r="AQ302" i="4"/>
  <c r="AR300" i="4"/>
  <c r="AQ300" i="4"/>
  <c r="AR166" i="4"/>
  <c r="AR164" i="4"/>
  <c r="AR357" i="4"/>
  <c r="AR160" i="4"/>
  <c r="AR159" i="4"/>
  <c r="AQ159" i="4"/>
  <c r="AR158" i="4"/>
  <c r="AR156" i="4"/>
  <c r="AR54" i="4"/>
  <c r="AQ54" i="4"/>
  <c r="AR150" i="4"/>
  <c r="AR149" i="4"/>
  <c r="AR148" i="4"/>
  <c r="AR146" i="4"/>
  <c r="AQ145" i="4"/>
  <c r="AR303" i="4"/>
  <c r="AQ303" i="4"/>
  <c r="AR144" i="4"/>
  <c r="AQ144" i="4"/>
  <c r="AR349" i="4"/>
  <c r="AQ349" i="4"/>
  <c r="AR135" i="4"/>
  <c r="AR134" i="4"/>
  <c r="AQ133" i="4"/>
  <c r="AR129" i="4"/>
  <c r="AQ129" i="4"/>
  <c r="AR327" i="4"/>
  <c r="AQ327" i="4"/>
  <c r="AR128" i="4"/>
  <c r="AQ128" i="4"/>
  <c r="AR127" i="4"/>
  <c r="AR125" i="4"/>
  <c r="AR124" i="4"/>
  <c r="AQ123" i="4"/>
  <c r="AR356" i="4"/>
  <c r="AR299" i="4"/>
  <c r="AQ299" i="4"/>
  <c r="AQ120" i="4"/>
  <c r="AQ117" i="4"/>
  <c r="AR116" i="4"/>
  <c r="AQ116" i="4"/>
  <c r="AR335" i="4"/>
  <c r="AR341" i="4"/>
  <c r="AQ341" i="4"/>
  <c r="AR114" i="4"/>
  <c r="AQ113" i="4"/>
  <c r="AR304" i="4"/>
  <c r="AQ304" i="4"/>
  <c r="AR111" i="4"/>
  <c r="AQ111" i="4"/>
  <c r="AR330" i="4"/>
  <c r="AR298" i="4"/>
  <c r="AQ298" i="4"/>
  <c r="AR105" i="4"/>
  <c r="AQ103" i="4"/>
  <c r="AR101" i="4"/>
  <c r="AR312" i="4"/>
  <c r="AQ312" i="4"/>
  <c r="AQ100" i="4"/>
  <c r="AQ347" i="4"/>
  <c r="AR306" i="4"/>
  <c r="AQ306" i="4"/>
  <c r="AR93" i="4"/>
  <c r="AQ92" i="4"/>
  <c r="AR91" i="4"/>
  <c r="AR90" i="4"/>
  <c r="AR89" i="4"/>
  <c r="AR87" i="4"/>
  <c r="AR84" i="4"/>
  <c r="AR82" i="4"/>
  <c r="AR78" i="4"/>
  <c r="AQ78" i="4"/>
  <c r="AR75" i="4"/>
  <c r="AR74" i="4"/>
  <c r="AQ74" i="4"/>
  <c r="AR73" i="4"/>
  <c r="AQ73" i="4"/>
  <c r="AR70" i="4"/>
  <c r="AR69" i="4"/>
  <c r="AR68" i="4"/>
  <c r="AQ67" i="4"/>
  <c r="AR340" i="4"/>
  <c r="AR62" i="4"/>
  <c r="AR61" i="4"/>
  <c r="AR60" i="4"/>
  <c r="AQ60" i="4"/>
  <c r="AR59" i="4"/>
  <c r="AR56" i="4"/>
  <c r="AR339" i="4"/>
  <c r="AQ339" i="4"/>
  <c r="AR53" i="4"/>
  <c r="AQ53" i="4"/>
  <c r="AR51" i="4"/>
  <c r="AR50" i="4"/>
  <c r="AR49" i="4"/>
  <c r="AQ49" i="4"/>
  <c r="AR47" i="4"/>
  <c r="AR46" i="4"/>
  <c r="AR45" i="4"/>
  <c r="AR44" i="4"/>
  <c r="AR338" i="4"/>
  <c r="AQ338" i="4"/>
  <c r="AR40" i="4"/>
  <c r="AQ399" i="4"/>
  <c r="AR39" i="4"/>
  <c r="AQ39" i="4"/>
  <c r="AR38" i="4"/>
  <c r="AQ38" i="4"/>
  <c r="AR355" i="4"/>
  <c r="AQ355" i="4"/>
  <c r="AR37" i="4"/>
  <c r="AQ37" i="4"/>
  <c r="AR35" i="4"/>
  <c r="AR34" i="4"/>
  <c r="AQ34" i="4"/>
  <c r="AR31" i="4"/>
  <c r="AQ29" i="4"/>
  <c r="AR139" i="4"/>
  <c r="AR28" i="4"/>
  <c r="AQ26" i="4"/>
  <c r="AQ25" i="4"/>
  <c r="AR24" i="4"/>
  <c r="AQ24" i="4"/>
  <c r="AR337" i="4"/>
  <c r="AQ337" i="4"/>
  <c r="AR334" i="4"/>
  <c r="AQ334" i="4"/>
  <c r="AQ23" i="4"/>
  <c r="AR309" i="4"/>
  <c r="AQ309" i="4"/>
  <c r="AQ22" i="4"/>
  <c r="AR19" i="4"/>
  <c r="AQ19" i="4"/>
  <c r="AR17" i="4"/>
  <c r="AR15" i="4"/>
  <c r="AR14" i="4"/>
  <c r="AQ14" i="4"/>
  <c r="AR301" i="4"/>
  <c r="AQ301" i="4"/>
  <c r="AR297" i="4"/>
  <c r="AQ297" i="4"/>
  <c r="AM209" i="4"/>
  <c r="AM208" i="4"/>
  <c r="AM206" i="4"/>
  <c r="AN201" i="4"/>
  <c r="AM201" i="4"/>
  <c r="AM200" i="4"/>
  <c r="AM196" i="4"/>
  <c r="AM191" i="4"/>
  <c r="AN315" i="4"/>
  <c r="AM315" i="4"/>
  <c r="AN190" i="4"/>
  <c r="AN305" i="4"/>
  <c r="AM305" i="4"/>
  <c r="AN365" i="4"/>
  <c r="AM365" i="4"/>
  <c r="AM187" i="4"/>
  <c r="AN186" i="4"/>
  <c r="AM186" i="4"/>
  <c r="AN182" i="4"/>
  <c r="AM182" i="4"/>
  <c r="AN180" i="4"/>
  <c r="AM180" i="4"/>
  <c r="AN179" i="4"/>
  <c r="AM179" i="4"/>
  <c r="AN360" i="4"/>
  <c r="AM360" i="4"/>
  <c r="AM178" i="4"/>
  <c r="AN368" i="4"/>
  <c r="AM368" i="4"/>
  <c r="AN173" i="4"/>
  <c r="AM173" i="4"/>
  <c r="AN171" i="4"/>
  <c r="AM171" i="4"/>
  <c r="AM323" i="4"/>
  <c r="AN302" i="4"/>
  <c r="AN300" i="4"/>
  <c r="AM300" i="4"/>
  <c r="AM166" i="4"/>
  <c r="AM164" i="4"/>
  <c r="AN357" i="4"/>
  <c r="AM357" i="4"/>
  <c r="AN54" i="4"/>
  <c r="AM154" i="4"/>
  <c r="AM152" i="4"/>
  <c r="AM150" i="4"/>
  <c r="AM149" i="4"/>
  <c r="AM147" i="4"/>
  <c r="AN146" i="4"/>
  <c r="AM145" i="4"/>
  <c r="AN303" i="4"/>
  <c r="AM303" i="4"/>
  <c r="AN144" i="4"/>
  <c r="AM144" i="4"/>
  <c r="AN349" i="4"/>
  <c r="AM349" i="4"/>
  <c r="AM133" i="4"/>
  <c r="AN327" i="4"/>
  <c r="AM327" i="4"/>
  <c r="AN128" i="4"/>
  <c r="AM128" i="4"/>
  <c r="AN127" i="4"/>
  <c r="AM127" i="4"/>
  <c r="AM125" i="4"/>
  <c r="AM124" i="4"/>
  <c r="AM356" i="4"/>
  <c r="AN299" i="4"/>
  <c r="AM299" i="4"/>
  <c r="AM120" i="4"/>
  <c r="AM117" i="4"/>
  <c r="AM116" i="4"/>
  <c r="AM115" i="4"/>
  <c r="AN341" i="4"/>
  <c r="AM341" i="4"/>
  <c r="AN114" i="4"/>
  <c r="AM113" i="4"/>
  <c r="AN304" i="4"/>
  <c r="AM304" i="4"/>
  <c r="AN111" i="4"/>
  <c r="AM111" i="4"/>
  <c r="AM330" i="4"/>
  <c r="AN298" i="4"/>
  <c r="AM298" i="4"/>
  <c r="AM106" i="4"/>
  <c r="AN105" i="4"/>
  <c r="AM105" i="4"/>
  <c r="AM103" i="4"/>
  <c r="AM101" i="4"/>
  <c r="AN312" i="4"/>
  <c r="AM312" i="4"/>
  <c r="AM100" i="4"/>
  <c r="AM347" i="4"/>
  <c r="AM97" i="4"/>
  <c r="AM119" i="4"/>
  <c r="AN96" i="4"/>
  <c r="AN95" i="4"/>
  <c r="AM94" i="4"/>
  <c r="AN306" i="4"/>
  <c r="AM306" i="4"/>
  <c r="AM93" i="4"/>
  <c r="AM91" i="4"/>
  <c r="AM90" i="4"/>
  <c r="AM89" i="4"/>
  <c r="AM87" i="4"/>
  <c r="AN84" i="4"/>
  <c r="AM84" i="4"/>
  <c r="AM82" i="4"/>
  <c r="AN79" i="4"/>
  <c r="AN78" i="4"/>
  <c r="AM78" i="4"/>
  <c r="AM75" i="4"/>
  <c r="AM74" i="4"/>
  <c r="AN73" i="4"/>
  <c r="AM73" i="4"/>
  <c r="AM68" i="4"/>
  <c r="AN67" i="4"/>
  <c r="AM67" i="4"/>
  <c r="AM63" i="4"/>
  <c r="AM340" i="4"/>
  <c r="AM62" i="4"/>
  <c r="AM61" i="4"/>
  <c r="AN60" i="4"/>
  <c r="AM60" i="4"/>
  <c r="AM56" i="4"/>
  <c r="AN339" i="4"/>
  <c r="AM339" i="4"/>
  <c r="AN53" i="4"/>
  <c r="AM53" i="4"/>
  <c r="AN51" i="4"/>
  <c r="AM51" i="4"/>
  <c r="AN50" i="4"/>
  <c r="AM50" i="4"/>
  <c r="AN49" i="4"/>
  <c r="AM49" i="4"/>
  <c r="AM47" i="4"/>
  <c r="AM46" i="4"/>
  <c r="AM45" i="4"/>
  <c r="AM44" i="4"/>
  <c r="AM41" i="4"/>
  <c r="AN338" i="4"/>
  <c r="AM338" i="4"/>
  <c r="AM40" i="4"/>
  <c r="AM385" i="4"/>
  <c r="AN399" i="4"/>
  <c r="AM39" i="4"/>
  <c r="AN38" i="4"/>
  <c r="AM38" i="4"/>
  <c r="AN355" i="4"/>
  <c r="AM355" i="4"/>
  <c r="AN37" i="4"/>
  <c r="AM37" i="4"/>
  <c r="AN34" i="4"/>
  <c r="AM31" i="4"/>
  <c r="AN29" i="4"/>
  <c r="AM139" i="4"/>
  <c r="AN26" i="4"/>
  <c r="AM26" i="4"/>
  <c r="AM25" i="4"/>
  <c r="AN24" i="4"/>
  <c r="AM24" i="4"/>
  <c r="AM337" i="4"/>
  <c r="AM334" i="4"/>
  <c r="AM23" i="4"/>
  <c r="AN309" i="4"/>
  <c r="AM309" i="4"/>
  <c r="AM22" i="4"/>
  <c r="AN19" i="4"/>
  <c r="AM19" i="4"/>
  <c r="AM18" i="4"/>
  <c r="AM15" i="4"/>
  <c r="AM14" i="4"/>
  <c r="AN13" i="4"/>
  <c r="AM13" i="4"/>
  <c r="AN301" i="4"/>
  <c r="AM301" i="4"/>
  <c r="AN297" i="4"/>
  <c r="AM297" i="4"/>
  <c r="AJ177" i="4"/>
  <c r="AJ158" i="4"/>
  <c r="AJ154" i="4"/>
  <c r="AJ135" i="4"/>
  <c r="AJ130" i="4"/>
  <c r="AJ120" i="4"/>
  <c r="AJ105" i="4"/>
  <c r="AJ92" i="4"/>
  <c r="AJ56" i="4"/>
  <c r="AJ139" i="4"/>
  <c r="AJ337" i="4"/>
  <c r="G208" i="4"/>
  <c r="AJ208" i="4"/>
  <c r="AI208" i="4"/>
  <c r="AD208" i="4"/>
  <c r="AH208" i="4" s="1"/>
  <c r="F208" i="4"/>
  <c r="G187" i="4"/>
  <c r="AJ187" i="4"/>
  <c r="AI187" i="4"/>
  <c r="AD187" i="4"/>
  <c r="AH187" i="4" s="1"/>
  <c r="F187" i="4"/>
  <c r="AJ146" i="4"/>
  <c r="AI146" i="4"/>
  <c r="AD146" i="4"/>
  <c r="AH146" i="4" s="1"/>
  <c r="AJ124" i="4"/>
  <c r="AI124" i="4"/>
  <c r="AD124" i="4"/>
  <c r="AH124" i="4" s="1"/>
  <c r="AJ100" i="4"/>
  <c r="AI100" i="4"/>
  <c r="AD100" i="4"/>
  <c r="AH100" i="4" s="1"/>
  <c r="AJ210" i="4"/>
  <c r="AJ190" i="4"/>
  <c r="AJ305" i="4"/>
  <c r="AJ365" i="4"/>
  <c r="AJ180" i="4"/>
  <c r="AJ323" i="4"/>
  <c r="AJ148" i="4"/>
  <c r="AJ129" i="4"/>
  <c r="AJ123" i="4"/>
  <c r="AJ114" i="4"/>
  <c r="AJ330" i="4"/>
  <c r="AJ98" i="4"/>
  <c r="AJ119" i="4"/>
  <c r="AJ94" i="4"/>
  <c r="AJ91" i="4"/>
  <c r="AJ79" i="4"/>
  <c r="AJ76" i="4"/>
  <c r="AJ69" i="4"/>
  <c r="AJ63" i="4"/>
  <c r="AJ61" i="4"/>
  <c r="AJ46" i="4"/>
  <c r="AJ35" i="4"/>
  <c r="AJ29" i="4"/>
  <c r="AJ28" i="4"/>
  <c r="AJ23" i="4"/>
  <c r="AJ334" i="4"/>
  <c r="AJ18" i="4"/>
  <c r="AL146" i="4" l="1"/>
  <c r="AP146" i="4" s="1"/>
  <c r="AT146" i="4" s="1"/>
  <c r="AX146" i="4" s="1"/>
  <c r="BB146" i="4" s="1"/>
  <c r="BQ146" i="4" s="1"/>
  <c r="AL208" i="4"/>
  <c r="AP208" i="4" s="1"/>
  <c r="AT208" i="4" s="1"/>
  <c r="AX208" i="4" s="1"/>
  <c r="BB208" i="4" s="1"/>
  <c r="BQ208" i="4" s="1"/>
  <c r="AL187" i="4"/>
  <c r="AP187" i="4" s="1"/>
  <c r="AT187" i="4" s="1"/>
  <c r="AX187" i="4" s="1"/>
  <c r="BB187" i="4" s="1"/>
  <c r="BQ187" i="4" s="1"/>
  <c r="H208" i="4"/>
  <c r="AL100" i="4"/>
  <c r="AP100" i="4" s="1"/>
  <c r="AT100" i="4" s="1"/>
  <c r="AX100" i="4" s="1"/>
  <c r="BB100" i="4" s="1"/>
  <c r="BQ100" i="4" s="1"/>
  <c r="AL124" i="4"/>
  <c r="AP124" i="4" s="1"/>
  <c r="AT124" i="4" s="1"/>
  <c r="AX124" i="4" s="1"/>
  <c r="BB124" i="4" s="1"/>
  <c r="BQ124" i="4" s="1"/>
  <c r="H187" i="4"/>
  <c r="G146" i="4"/>
  <c r="F146" i="4"/>
  <c r="G124" i="4"/>
  <c r="F124" i="4"/>
  <c r="G100" i="4"/>
  <c r="F100" i="4"/>
  <c r="H146" i="4" l="1"/>
  <c r="H124" i="4"/>
  <c r="H100" i="4"/>
  <c r="G295" i="4"/>
  <c r="AJ295" i="4"/>
  <c r="AI295" i="4"/>
  <c r="AD295" i="4"/>
  <c r="AH295" i="4" s="1"/>
  <c r="F295" i="4"/>
  <c r="G179" i="4"/>
  <c r="AJ179" i="4"/>
  <c r="AI179" i="4"/>
  <c r="AD179" i="4"/>
  <c r="AH179" i="4" s="1"/>
  <c r="F179" i="4"/>
  <c r="AJ209" i="4"/>
  <c r="AJ315" i="4"/>
  <c r="AJ178" i="4"/>
  <c r="AJ125" i="4"/>
  <c r="AJ117" i="4"/>
  <c r="AJ335" i="4"/>
  <c r="AJ106" i="4"/>
  <c r="AJ101" i="4"/>
  <c r="AJ93" i="4"/>
  <c r="AJ87" i="4"/>
  <c r="AJ74" i="4"/>
  <c r="AJ68" i="4"/>
  <c r="AJ59" i="4"/>
  <c r="AJ50" i="4"/>
  <c r="AJ51" i="4"/>
  <c r="AJ25" i="4"/>
  <c r="AL179" i="4" l="1"/>
  <c r="AP179" i="4" s="1"/>
  <c r="AT179" i="4" s="1"/>
  <c r="AX179" i="4" s="1"/>
  <c r="BB179" i="4" s="1"/>
  <c r="BQ179" i="4" s="1"/>
  <c r="H295" i="4"/>
  <c r="AL295" i="4"/>
  <c r="H179" i="4"/>
  <c r="AJ191" i="4"/>
  <c r="AJ186" i="4"/>
  <c r="AJ173" i="4"/>
  <c r="AJ302" i="4"/>
  <c r="AJ150" i="4"/>
  <c r="AJ147" i="4"/>
  <c r="AJ134" i="4"/>
  <c r="AJ115" i="4"/>
  <c r="AJ96" i="4"/>
  <c r="AJ75" i="4"/>
  <c r="AJ340" i="4"/>
  <c r="AJ60" i="4"/>
  <c r="AJ339" i="4"/>
  <c r="AJ48" i="4"/>
  <c r="AJ40" i="4"/>
  <c r="AJ34" i="4"/>
  <c r="AJ26" i="4"/>
  <c r="AJ24" i="4"/>
  <c r="AJ17" i="4"/>
  <c r="AJ14" i="4"/>
  <c r="AJ200" i="4" l="1"/>
  <c r="AJ197" i="4"/>
  <c r="AJ196" i="4"/>
  <c r="AJ296" i="4"/>
  <c r="AJ166" i="4"/>
  <c r="AJ164" i="4"/>
  <c r="AJ156" i="4"/>
  <c r="AJ149" i="4"/>
  <c r="AJ97" i="4"/>
  <c r="AJ95" i="4"/>
  <c r="AJ306" i="4"/>
  <c r="AJ90" i="4"/>
  <c r="AJ84" i="4"/>
  <c r="AJ82" i="4"/>
  <c r="AJ70" i="4"/>
  <c r="AJ67" i="4"/>
  <c r="AJ45" i="4"/>
  <c r="AJ44" i="4"/>
  <c r="AJ41" i="4"/>
  <c r="AJ399" i="4"/>
  <c r="AJ39" i="4"/>
  <c r="AJ355" i="4"/>
  <c r="AJ37" i="4"/>
  <c r="AJ15" i="4"/>
  <c r="AJ13" i="4"/>
  <c r="G154" i="4"/>
  <c r="AI154" i="4"/>
  <c r="AD154" i="4"/>
  <c r="AH154" i="4" s="1"/>
  <c r="F154" i="4"/>
  <c r="G49" i="4"/>
  <c r="AJ49" i="4"/>
  <c r="AI49" i="4"/>
  <c r="AD49" i="4"/>
  <c r="AH49" i="4" s="1"/>
  <c r="F49" i="4"/>
  <c r="AI25" i="4"/>
  <c r="AI139" i="4"/>
  <c r="AI164" i="4"/>
  <c r="AI97" i="4"/>
  <c r="AI28" i="4"/>
  <c r="AI210" i="4"/>
  <c r="AI191" i="4"/>
  <c r="AI182" i="4"/>
  <c r="AI173" i="4"/>
  <c r="AI152" i="4"/>
  <c r="AI150" i="4"/>
  <c r="AI125" i="4"/>
  <c r="AI123" i="4"/>
  <c r="AI115" i="4"/>
  <c r="AI119" i="4"/>
  <c r="AI98" i="4"/>
  <c r="AI399" i="4"/>
  <c r="AI95" i="4"/>
  <c r="AI94" i="4"/>
  <c r="AI93" i="4"/>
  <c r="AI90" i="4"/>
  <c r="AI87" i="4"/>
  <c r="AI84" i="4"/>
  <c r="AI79" i="4"/>
  <c r="AI75" i="4"/>
  <c r="AI70" i="4"/>
  <c r="AI60" i="4"/>
  <c r="AI59" i="4"/>
  <c r="AI41" i="4"/>
  <c r="AI40" i="4"/>
  <c r="AI39" i="4"/>
  <c r="AI37" i="4"/>
  <c r="AI35" i="4"/>
  <c r="AI29" i="4"/>
  <c r="AL49" i="4" l="1"/>
  <c r="AP49" i="4" s="1"/>
  <c r="AT49" i="4" s="1"/>
  <c r="AX49" i="4" s="1"/>
  <c r="BB49" i="4" s="1"/>
  <c r="BQ49" i="4" s="1"/>
  <c r="AL154" i="4"/>
  <c r="AP154" i="4" s="1"/>
  <c r="AT154" i="4" s="1"/>
  <c r="AX154" i="4" s="1"/>
  <c r="BB154" i="4" s="1"/>
  <c r="BQ154" i="4" s="1"/>
  <c r="H154" i="4"/>
  <c r="H49" i="4"/>
  <c r="AI61" i="4"/>
  <c r="AD61" i="4"/>
  <c r="AH61" i="4" s="1"/>
  <c r="AL61" i="4" l="1"/>
  <c r="AP61" i="4" s="1"/>
  <c r="AT61" i="4" s="1"/>
  <c r="AX61" i="4" s="1"/>
  <c r="BB61" i="4" s="1"/>
  <c r="BQ61" i="4" s="1"/>
  <c r="G298" i="4" l="1"/>
  <c r="AJ298" i="4"/>
  <c r="AI298" i="4"/>
  <c r="AD298" i="4"/>
  <c r="AH298" i="4" s="1"/>
  <c r="F298" i="4"/>
  <c r="G26" i="4"/>
  <c r="AI26" i="4"/>
  <c r="AD26" i="4"/>
  <c r="AH26" i="4" s="1"/>
  <c r="F26" i="4"/>
  <c r="AI209" i="4"/>
  <c r="AI197" i="4"/>
  <c r="AI305" i="4"/>
  <c r="AI156" i="4"/>
  <c r="AI149" i="4"/>
  <c r="AI44" i="4"/>
  <c r="G335" i="4"/>
  <c r="AI335" i="4"/>
  <c r="AD335" i="4"/>
  <c r="AH335" i="4" s="1"/>
  <c r="F335" i="4"/>
  <c r="G98" i="4"/>
  <c r="AD98" i="4"/>
  <c r="AH98" i="4" s="1"/>
  <c r="F98" i="4"/>
  <c r="AL298" i="4" l="1"/>
  <c r="AP298" i="4" s="1"/>
  <c r="AT298" i="4" s="1"/>
  <c r="AL26" i="4"/>
  <c r="AP26" i="4" s="1"/>
  <c r="AT26" i="4" s="1"/>
  <c r="AX26" i="4" s="1"/>
  <c r="BB26" i="4" s="1"/>
  <c r="BQ26" i="4" s="1"/>
  <c r="H298" i="4"/>
  <c r="H26" i="4"/>
  <c r="H98" i="4"/>
  <c r="AL335" i="4"/>
  <c r="AP335" i="4" s="1"/>
  <c r="AT335" i="4" s="1"/>
  <c r="AL98" i="4"/>
  <c r="AP98" i="4" s="1"/>
  <c r="AT98" i="4" s="1"/>
  <c r="AX98" i="4" s="1"/>
  <c r="BB98" i="4" s="1"/>
  <c r="BQ98" i="4" s="1"/>
  <c r="H335" i="4"/>
  <c r="G61" i="4"/>
  <c r="F61" i="4"/>
  <c r="G339" i="4"/>
  <c r="AI339" i="4"/>
  <c r="AD339" i="4"/>
  <c r="AH339" i="4" s="1"/>
  <c r="F339" i="4"/>
  <c r="F37" i="4"/>
  <c r="H61" i="4" l="1"/>
  <c r="AL339" i="4"/>
  <c r="AP339" i="4" s="1"/>
  <c r="AT339" i="4" s="1"/>
  <c r="AX339" i="4" s="1"/>
  <c r="H339" i="4"/>
  <c r="G304" i="4"/>
  <c r="AJ304" i="4"/>
  <c r="AI304" i="4"/>
  <c r="AD304" i="4"/>
  <c r="AH304" i="4" s="1"/>
  <c r="F304" i="4"/>
  <c r="G288" i="4"/>
  <c r="AJ288" i="4"/>
  <c r="AI288" i="4"/>
  <c r="AD288" i="4"/>
  <c r="AH288" i="4" s="1"/>
  <c r="F288" i="4"/>
  <c r="AL288" i="4" l="1"/>
  <c r="AP288" i="4" s="1"/>
  <c r="H288" i="4"/>
  <c r="AL304" i="4"/>
  <c r="AP304" i="4" s="1"/>
  <c r="AT304" i="4" s="1"/>
  <c r="H304" i="4"/>
  <c r="G287" i="4"/>
  <c r="AJ287" i="4"/>
  <c r="AI287" i="4"/>
  <c r="AD287" i="4"/>
  <c r="AH287" i="4" s="1"/>
  <c r="F287" i="4"/>
  <c r="G365" i="4"/>
  <c r="AI365" i="4"/>
  <c r="AD365" i="4"/>
  <c r="AH365" i="4" s="1"/>
  <c r="F365" i="4"/>
  <c r="AL287" i="4" l="1"/>
  <c r="AL365" i="4"/>
  <c r="AP365" i="4" s="1"/>
  <c r="AT365" i="4" s="1"/>
  <c r="AX365" i="4" s="1"/>
  <c r="BB365" i="4" s="1"/>
  <c r="H365" i="4"/>
  <c r="H287" i="4"/>
  <c r="G134" i="4"/>
  <c r="AI134" i="4"/>
  <c r="AD134" i="4"/>
  <c r="AH134" i="4" s="1"/>
  <c r="F134" i="4"/>
  <c r="AL134" i="4" l="1"/>
  <c r="AP134" i="4" s="1"/>
  <c r="AT134" i="4" s="1"/>
  <c r="AX134" i="4" s="1"/>
  <c r="BB134" i="4" s="1"/>
  <c r="BQ134" i="4" s="1"/>
  <c r="H134" i="4"/>
  <c r="G31" i="4"/>
  <c r="AJ31" i="4"/>
  <c r="AI31" i="4"/>
  <c r="AD31" i="4"/>
  <c r="AH31" i="4" s="1"/>
  <c r="F31" i="4"/>
  <c r="G130" i="4"/>
  <c r="AI130" i="4"/>
  <c r="AE130" i="4"/>
  <c r="AF130" i="4"/>
  <c r="AD130" i="4"/>
  <c r="F130" i="4"/>
  <c r="AJ206" i="4"/>
  <c r="AI206" i="4"/>
  <c r="AJ201" i="4"/>
  <c r="AI201" i="4"/>
  <c r="AJ293" i="4"/>
  <c r="AI293" i="4"/>
  <c r="AI200" i="4"/>
  <c r="AI196" i="4"/>
  <c r="AI296" i="4"/>
  <c r="AI315" i="4"/>
  <c r="AI190" i="4"/>
  <c r="AJ284" i="4"/>
  <c r="AI284" i="4"/>
  <c r="AI186" i="4"/>
  <c r="AJ283" i="4"/>
  <c r="AI283" i="4"/>
  <c r="AJ182" i="4"/>
  <c r="AI180" i="4"/>
  <c r="AJ360" i="4"/>
  <c r="AI360" i="4"/>
  <c r="AI178" i="4"/>
  <c r="AI177" i="4"/>
  <c r="AJ368" i="4"/>
  <c r="AI368" i="4"/>
  <c r="AJ289" i="4"/>
  <c r="AI289" i="4"/>
  <c r="AJ286" i="4"/>
  <c r="AI286" i="4"/>
  <c r="AJ171" i="4"/>
  <c r="AI171" i="4"/>
  <c r="AJ292" i="4"/>
  <c r="AI292" i="4"/>
  <c r="AI323" i="4"/>
  <c r="AI302" i="4"/>
  <c r="AJ300" i="4"/>
  <c r="AI300" i="4"/>
  <c r="AI166" i="4"/>
  <c r="AJ357" i="4"/>
  <c r="AI357" i="4"/>
  <c r="AJ160" i="4"/>
  <c r="AI160" i="4"/>
  <c r="AJ159" i="4"/>
  <c r="AI159" i="4"/>
  <c r="AI158" i="4"/>
  <c r="AJ54" i="4"/>
  <c r="AI54" i="4"/>
  <c r="AJ152" i="4"/>
  <c r="AI148" i="4"/>
  <c r="AI147" i="4"/>
  <c r="AJ145" i="4"/>
  <c r="AI145" i="4"/>
  <c r="AJ303" i="4"/>
  <c r="AI303" i="4"/>
  <c r="AJ144" i="4"/>
  <c r="AI144" i="4"/>
  <c r="AJ349" i="4"/>
  <c r="AI349" i="4"/>
  <c r="AI135" i="4"/>
  <c r="AJ133" i="4"/>
  <c r="AI133" i="4"/>
  <c r="AI129" i="4"/>
  <c r="AJ327" i="4"/>
  <c r="AI327" i="4"/>
  <c r="AJ128" i="4"/>
  <c r="AI128" i="4"/>
  <c r="AJ127" i="4"/>
  <c r="AI127" i="4"/>
  <c r="AJ294" i="4"/>
  <c r="AI294" i="4"/>
  <c r="AJ356" i="4"/>
  <c r="AI356" i="4"/>
  <c r="AJ299" i="4"/>
  <c r="AI299" i="4"/>
  <c r="AI120" i="4"/>
  <c r="AI117" i="4"/>
  <c r="AJ116" i="4"/>
  <c r="AI116" i="4"/>
  <c r="AJ341" i="4"/>
  <c r="AI341" i="4"/>
  <c r="AI114" i="4"/>
  <c r="AJ113" i="4"/>
  <c r="AI113" i="4"/>
  <c r="AJ111" i="4"/>
  <c r="AI111" i="4"/>
  <c r="AJ282" i="4"/>
  <c r="AI282" i="4"/>
  <c r="AI330" i="4"/>
  <c r="AI106" i="4"/>
  <c r="AI105" i="4"/>
  <c r="AJ103" i="4"/>
  <c r="AI103" i="4"/>
  <c r="AI101" i="4"/>
  <c r="AJ312" i="4"/>
  <c r="AI312" i="4"/>
  <c r="AJ347" i="4"/>
  <c r="AI347" i="4"/>
  <c r="AI96" i="4"/>
  <c r="AI306" i="4"/>
  <c r="AI92" i="4"/>
  <c r="AI91" i="4"/>
  <c r="AJ89" i="4"/>
  <c r="AI89" i="4"/>
  <c r="AJ285" i="4"/>
  <c r="AI285" i="4"/>
  <c r="AI82" i="4"/>
  <c r="AJ78" i="4"/>
  <c r="AI78" i="4"/>
  <c r="AI76" i="4"/>
  <c r="AI74" i="4"/>
  <c r="AJ73" i="4"/>
  <c r="AI73" i="4"/>
  <c r="AI69" i="4"/>
  <c r="AI68" i="4"/>
  <c r="AI67" i="4"/>
  <c r="AI63" i="4"/>
  <c r="AI340" i="4"/>
  <c r="AJ290" i="4"/>
  <c r="AI290" i="4"/>
  <c r="AJ62" i="4"/>
  <c r="AI62" i="4"/>
  <c r="AI56" i="4"/>
  <c r="AJ53" i="4"/>
  <c r="AI53" i="4"/>
  <c r="AI51" i="4"/>
  <c r="AI50" i="4"/>
  <c r="AI48" i="4"/>
  <c r="AJ47" i="4"/>
  <c r="AI47" i="4"/>
  <c r="AI46" i="4"/>
  <c r="AI45" i="4"/>
  <c r="AJ338" i="4"/>
  <c r="AI338" i="4"/>
  <c r="AJ385" i="4"/>
  <c r="AI385" i="4"/>
  <c r="AJ38" i="4"/>
  <c r="AI38" i="4"/>
  <c r="AI355" i="4"/>
  <c r="AI34" i="4"/>
  <c r="AI24" i="4"/>
  <c r="AI337" i="4"/>
  <c r="AI334" i="4"/>
  <c r="AI23" i="4"/>
  <c r="AJ309" i="4"/>
  <c r="AI309" i="4"/>
  <c r="AJ22" i="4"/>
  <c r="AI22" i="4"/>
  <c r="AJ19" i="4"/>
  <c r="AI19" i="4"/>
  <c r="AI18" i="4"/>
  <c r="AI17" i="4"/>
  <c r="AI15" i="4"/>
  <c r="AI14" i="4"/>
  <c r="AI13" i="4"/>
  <c r="AJ291" i="4"/>
  <c r="AI291" i="4"/>
  <c r="AJ301" i="4"/>
  <c r="AI301" i="4"/>
  <c r="AJ297" i="4"/>
  <c r="AI297" i="4"/>
  <c r="AL31" i="4" l="1"/>
  <c r="AP31" i="4" s="1"/>
  <c r="AT31" i="4" s="1"/>
  <c r="AX31" i="4" s="1"/>
  <c r="BB31" i="4" s="1"/>
  <c r="BQ31" i="4" s="1"/>
  <c r="AH130" i="4"/>
  <c r="AL130" i="4" s="1"/>
  <c r="AP130" i="4" s="1"/>
  <c r="AT130" i="4" s="1"/>
  <c r="AX130" i="4" s="1"/>
  <c r="BB130" i="4" s="1"/>
  <c r="BQ130" i="4" s="1"/>
  <c r="H31" i="4"/>
  <c r="H130" i="4"/>
  <c r="AF210" i="4"/>
  <c r="AF209" i="4"/>
  <c r="AF206" i="4"/>
  <c r="AF200" i="4"/>
  <c r="AF197" i="4"/>
  <c r="AF196" i="4"/>
  <c r="AF296" i="4"/>
  <c r="AF191" i="4"/>
  <c r="AF315" i="4"/>
  <c r="AF284" i="4"/>
  <c r="AF305" i="4"/>
  <c r="AF186" i="4"/>
  <c r="AF182" i="4"/>
  <c r="AF283" i="4"/>
  <c r="AF279" i="4" l="1"/>
  <c r="AF180" i="4"/>
  <c r="AF178" i="4"/>
  <c r="AF177" i="4"/>
  <c r="AF368" i="4"/>
  <c r="AF289" i="4"/>
  <c r="AF173" i="4"/>
  <c r="AF171" i="4"/>
  <c r="AF292" i="4"/>
  <c r="AF323" i="4"/>
  <c r="AF302" i="4"/>
  <c r="AF300" i="4"/>
  <c r="AF166" i="4"/>
  <c r="AF164" i="4"/>
  <c r="AF160" i="4"/>
  <c r="AF158" i="4"/>
  <c r="AF156" i="4"/>
  <c r="AF54" i="4"/>
  <c r="AF152" i="4"/>
  <c r="AF150" i="4"/>
  <c r="AF149" i="4"/>
  <c r="AF148" i="4"/>
  <c r="AF147" i="4"/>
  <c r="AF303" i="4"/>
  <c r="AF145" i="4"/>
  <c r="AF135" i="4"/>
  <c r="AF129" i="4"/>
  <c r="AF327" i="4"/>
  <c r="AF125" i="4"/>
  <c r="AF123" i="4"/>
  <c r="AF299" i="4"/>
  <c r="AF120" i="4"/>
  <c r="AF117" i="4"/>
  <c r="AF116" i="4"/>
  <c r="AF115" i="4"/>
  <c r="AF341" i="4"/>
  <c r="AF114" i="4"/>
  <c r="AF113" i="4"/>
  <c r="AF282" i="4"/>
  <c r="AF330" i="4"/>
  <c r="AF105" i="4"/>
  <c r="AF103" i="4"/>
  <c r="AF101" i="4"/>
  <c r="AF97" i="4"/>
  <c r="AF119" i="4"/>
  <c r="AF96" i="4"/>
  <c r="AF95" i="4"/>
  <c r="AF94" i="4"/>
  <c r="AF306" i="4"/>
  <c r="AF93" i="4"/>
  <c r="AF92" i="4"/>
  <c r="AF91" i="4"/>
  <c r="AF90" i="4"/>
  <c r="AF89" i="4"/>
  <c r="AF87" i="4"/>
  <c r="AF84" i="4"/>
  <c r="AF82" i="4"/>
  <c r="AF79" i="4"/>
  <c r="AF78" i="4"/>
  <c r="AF76" i="4"/>
  <c r="AF75" i="4"/>
  <c r="AF74" i="4"/>
  <c r="AF70" i="4"/>
  <c r="AF276" i="4"/>
  <c r="AF67" i="4"/>
  <c r="AF63" i="4"/>
  <c r="AF340" i="4"/>
  <c r="AF290" i="4"/>
  <c r="AF60" i="4"/>
  <c r="AF59" i="4"/>
  <c r="AF56" i="4"/>
  <c r="AF51" i="4"/>
  <c r="AF48" i="4"/>
  <c r="AF47" i="4"/>
  <c r="AF46" i="4"/>
  <c r="AF45" i="4"/>
  <c r="AF44" i="4"/>
  <c r="AF41" i="4"/>
  <c r="AF399" i="4"/>
  <c r="AF40" i="4"/>
  <c r="AF385" i="4"/>
  <c r="AF39" i="4"/>
  <c r="AF38" i="4"/>
  <c r="AF37" i="4"/>
  <c r="AF35" i="4"/>
  <c r="AF34" i="4"/>
  <c r="AF25" i="4"/>
  <c r="AF24" i="4"/>
  <c r="AF29" i="4"/>
  <c r="AF139" i="4"/>
  <c r="AF28" i="4"/>
  <c r="AF337" i="4"/>
  <c r="AF291" i="4"/>
  <c r="AF301" i="4"/>
  <c r="AF334" i="4"/>
  <c r="AF23" i="4"/>
  <c r="AF22" i="4"/>
  <c r="AF18" i="4"/>
  <c r="AF17" i="4"/>
  <c r="AF15" i="4"/>
  <c r="AF14" i="4"/>
  <c r="AF13" i="4"/>
  <c r="AF190" i="4" l="1"/>
  <c r="G309" i="4" l="1"/>
  <c r="AF309" i="4"/>
  <c r="AD309" i="4"/>
  <c r="F309" i="4"/>
  <c r="AH309" i="4" l="1"/>
  <c r="AL309" i="4" s="1"/>
  <c r="AP309" i="4" s="1"/>
  <c r="AT309" i="4" s="1"/>
  <c r="H309" i="4"/>
  <c r="AF68" i="4" l="1"/>
  <c r="G68" i="4"/>
  <c r="AD68" i="4"/>
  <c r="F68" i="4"/>
  <c r="H68" i="4" l="1"/>
  <c r="AH68" i="4"/>
  <c r="AL68" i="4" s="1"/>
  <c r="AP68" i="4" s="1"/>
  <c r="AT68" i="4" s="1"/>
  <c r="AX68" i="4" s="1"/>
  <c r="BB68" i="4" s="1"/>
  <c r="BQ68" i="4" s="1"/>
  <c r="AF133" i="4" l="1"/>
  <c r="AF69" i="4"/>
  <c r="AF50" i="4"/>
  <c r="G82" i="4" l="1"/>
  <c r="AD82" i="4"/>
  <c r="F82" i="4"/>
  <c r="AH82" i="4" l="1"/>
  <c r="AL82" i="4" s="1"/>
  <c r="AP82" i="4" s="1"/>
  <c r="AT82" i="4" s="1"/>
  <c r="AX82" i="4" s="1"/>
  <c r="BB82" i="4" s="1"/>
  <c r="BQ82" i="4" s="1"/>
  <c r="H82" i="4"/>
  <c r="AF280" i="4" l="1"/>
  <c r="AF106" i="4"/>
  <c r="AF73" i="4"/>
  <c r="AF338" i="4"/>
  <c r="AF286" i="4" l="1"/>
  <c r="G286" i="4"/>
  <c r="AD286" i="4"/>
  <c r="F286" i="4"/>
  <c r="AH286" i="4" l="1"/>
  <c r="AL286" i="4" s="1"/>
  <c r="H286" i="4"/>
  <c r="AD22" i="4"/>
  <c r="G22" i="4"/>
  <c r="F22" i="4"/>
  <c r="AH22" i="4" l="1"/>
  <c r="AL22" i="4" s="1"/>
  <c r="AP22" i="4" s="1"/>
  <c r="AT22" i="4" s="1"/>
  <c r="AX22" i="4" s="1"/>
  <c r="BB22" i="4" s="1"/>
  <c r="BQ22" i="4" s="1"/>
  <c r="H22" i="4"/>
  <c r="AF201" i="4" l="1"/>
  <c r="AF293" i="4"/>
  <c r="AF277" i="4"/>
  <c r="AF360" i="4"/>
  <c r="AF278" i="4"/>
  <c r="AF357" i="4"/>
  <c r="AF159" i="4"/>
  <c r="AF144" i="4"/>
  <c r="AF349" i="4"/>
  <c r="AF128" i="4"/>
  <c r="AF127" i="4"/>
  <c r="AF294" i="4"/>
  <c r="AF356" i="4"/>
  <c r="AF111" i="4"/>
  <c r="AF312" i="4"/>
  <c r="AF347" i="4"/>
  <c r="AF285" i="4"/>
  <c r="AF62" i="4"/>
  <c r="AF275" i="4"/>
  <c r="AF53" i="4"/>
  <c r="AF355" i="4"/>
  <c r="AF19" i="4"/>
  <c r="AF274" i="4"/>
  <c r="AF281" i="4"/>
  <c r="AF297" i="4"/>
  <c r="AH334" i="4" l="1"/>
  <c r="AL334" i="4" s="1"/>
  <c r="AP334" i="4" s="1"/>
  <c r="AT334" i="4" s="1"/>
  <c r="AD78" i="4"/>
  <c r="AH78" i="4" s="1"/>
  <c r="AL78" i="4" s="1"/>
  <c r="AP78" i="4" s="1"/>
  <c r="AT78" i="4" s="1"/>
  <c r="AX78" i="4" s="1"/>
  <c r="BB78" i="4" s="1"/>
  <c r="BQ78" i="4" s="1"/>
  <c r="AD285" i="4" l="1"/>
  <c r="AH285" i="4" s="1"/>
  <c r="AL285" i="4" s="1"/>
  <c r="G285" i="4"/>
  <c r="F285" i="4"/>
  <c r="H285" i="4" l="1"/>
  <c r="AD275" i="4"/>
  <c r="AH275" i="4" s="1"/>
  <c r="G275" i="4"/>
  <c r="F275" i="4"/>
  <c r="G291" i="4"/>
  <c r="AD291" i="4"/>
  <c r="AH291" i="4" s="1"/>
  <c r="AL291" i="4" s="1"/>
  <c r="F291" i="4"/>
  <c r="H275" i="4" l="1"/>
  <c r="H291" i="4"/>
  <c r="AE209" i="4"/>
  <c r="AE210" i="4" l="1"/>
  <c r="AE173" i="4"/>
  <c r="AE302" i="4"/>
  <c r="AE158" i="4"/>
  <c r="AE156" i="4"/>
  <c r="AE148" i="4"/>
  <c r="AE129" i="4"/>
  <c r="AE123" i="4"/>
  <c r="AE115" i="4"/>
  <c r="AE116" i="4"/>
  <c r="AE101" i="4"/>
  <c r="AE119" i="4"/>
  <c r="AE95" i="4"/>
  <c r="AE94" i="4"/>
  <c r="AE90" i="4"/>
  <c r="AE87" i="4"/>
  <c r="AE79" i="4"/>
  <c r="AE67" i="4"/>
  <c r="AE63" i="4"/>
  <c r="AE59" i="4"/>
  <c r="AE45" i="4"/>
  <c r="AE41" i="4"/>
  <c r="AE39" i="4"/>
  <c r="AE34" i="4"/>
  <c r="AE25" i="4"/>
  <c r="AE28" i="4"/>
  <c r="AE17" i="4"/>
  <c r="G78" i="4" l="1"/>
  <c r="F78" i="4"/>
  <c r="H78" i="4" l="1"/>
  <c r="AE105" i="4"/>
  <c r="AE96" i="4"/>
  <c r="AE197" i="4" l="1"/>
  <c r="AE76" i="4"/>
  <c r="G159" i="4" l="1"/>
  <c r="AD159" i="4"/>
  <c r="AH159" i="4" s="1"/>
  <c r="AL159" i="4" s="1"/>
  <c r="AP159" i="4" s="1"/>
  <c r="AT159" i="4" s="1"/>
  <c r="AX159" i="4" s="1"/>
  <c r="BB159" i="4" s="1"/>
  <c r="BQ159" i="4" s="1"/>
  <c r="F159" i="4"/>
  <c r="H159" i="4" l="1"/>
  <c r="G303" i="4"/>
  <c r="AD303" i="4"/>
  <c r="AH303" i="4" s="1"/>
  <c r="AL303" i="4" s="1"/>
  <c r="AP303" i="4" s="1"/>
  <c r="AT303" i="4" s="1"/>
  <c r="F303" i="4"/>
  <c r="H303" i="4" l="1"/>
  <c r="G340" i="4"/>
  <c r="AD340" i="4"/>
  <c r="AH340" i="4" s="1"/>
  <c r="AL340" i="4" s="1"/>
  <c r="AP340" i="4" s="1"/>
  <c r="AT340" i="4" s="1"/>
  <c r="AX340" i="4" s="1"/>
  <c r="F340" i="4"/>
  <c r="G50" i="4"/>
  <c r="AD50" i="4"/>
  <c r="AH50" i="4" s="1"/>
  <c r="AL50" i="4" s="1"/>
  <c r="AP50" i="4" s="1"/>
  <c r="AT50" i="4" s="1"/>
  <c r="AX50" i="4" s="1"/>
  <c r="BB50" i="4" s="1"/>
  <c r="BQ50" i="4" s="1"/>
  <c r="F50" i="4"/>
  <c r="H340" i="4" l="1"/>
  <c r="H50" i="4"/>
  <c r="F274" i="4" l="1"/>
  <c r="G305" i="4" l="1"/>
  <c r="AD305" i="4"/>
  <c r="AH305" i="4" s="1"/>
  <c r="AL305" i="4" s="1"/>
  <c r="AP305" i="4" s="1"/>
  <c r="AT305" i="4" s="1"/>
  <c r="F305" i="4"/>
  <c r="G299" i="4"/>
  <c r="AD299" i="4"/>
  <c r="AH299" i="4" s="1"/>
  <c r="AL299" i="4" s="1"/>
  <c r="AP299" i="4" s="1"/>
  <c r="AT299" i="4" s="1"/>
  <c r="F299" i="4"/>
  <c r="G273" i="4"/>
  <c r="AD273" i="4"/>
  <c r="AH273" i="4" s="1"/>
  <c r="F273" i="4"/>
  <c r="G24" i="4"/>
  <c r="AD24" i="4"/>
  <c r="AH24" i="4" s="1"/>
  <c r="AL24" i="4" s="1"/>
  <c r="AP24" i="4" s="1"/>
  <c r="AT24" i="4" s="1"/>
  <c r="AX24" i="4" s="1"/>
  <c r="BB24" i="4" s="1"/>
  <c r="BQ24" i="4" s="1"/>
  <c r="F24" i="4"/>
  <c r="G274" i="4"/>
  <c r="H274" i="4" s="1"/>
  <c r="AD274" i="4"/>
  <c r="AH274" i="4" s="1"/>
  <c r="H273" i="4" l="1"/>
  <c r="H24" i="4"/>
  <c r="H305" i="4"/>
  <c r="H299" i="4"/>
  <c r="G312" i="4" l="1"/>
  <c r="AD312" i="4"/>
  <c r="AH312" i="4" s="1"/>
  <c r="AL312" i="4" s="1"/>
  <c r="AP312" i="4" s="1"/>
  <c r="AT312" i="4" s="1"/>
  <c r="F312" i="4"/>
  <c r="H312" i="4" l="1"/>
  <c r="G267" i="4"/>
  <c r="AD267" i="4"/>
  <c r="AH267" i="4" s="1"/>
  <c r="F267" i="4"/>
  <c r="AE289" i="4"/>
  <c r="AE150" i="4"/>
  <c r="AE327" i="4"/>
  <c r="AE330" i="4"/>
  <c r="H267" i="4" l="1"/>
  <c r="G269" i="4"/>
  <c r="H269" i="4" s="1"/>
  <c r="AD269" i="4"/>
  <c r="AH269" i="4" s="1"/>
  <c r="G196" i="4" l="1"/>
  <c r="G15" i="4"/>
  <c r="G14" i="4"/>
  <c r="G129" i="4" l="1"/>
  <c r="AD129" i="4"/>
  <c r="AH129" i="4" s="1"/>
  <c r="AL129" i="4" s="1"/>
  <c r="AP129" i="4" s="1"/>
  <c r="AT129" i="4" s="1"/>
  <c r="AX129" i="4" s="1"/>
  <c r="BB129" i="4" s="1"/>
  <c r="BQ129" i="4" s="1"/>
  <c r="F129" i="4"/>
  <c r="H129" i="4" l="1"/>
  <c r="AD296" i="4" l="1"/>
  <c r="AH296" i="4" s="1"/>
  <c r="AL296" i="4" s="1"/>
  <c r="G296" i="4"/>
  <c r="F296" i="4"/>
  <c r="AD399" i="4"/>
  <c r="AH399" i="4" s="1"/>
  <c r="AL399" i="4" s="1"/>
  <c r="AP399" i="4" s="1"/>
  <c r="AT399" i="4" s="1"/>
  <c r="AX399" i="4" s="1"/>
  <c r="BB399" i="4" s="1"/>
  <c r="BQ399" i="4" s="1"/>
  <c r="G399" i="4"/>
  <c r="F399" i="4"/>
  <c r="AD59" i="4"/>
  <c r="AH59" i="4" s="1"/>
  <c r="AL59" i="4" s="1"/>
  <c r="AP59" i="4" s="1"/>
  <c r="AT59" i="4" s="1"/>
  <c r="AX59" i="4" s="1"/>
  <c r="BB59" i="4" s="1"/>
  <c r="BQ59" i="4" s="1"/>
  <c r="F59" i="4"/>
  <c r="H296" i="4" l="1"/>
  <c r="H399" i="4"/>
  <c r="H59" i="4"/>
  <c r="AD210" i="4"/>
  <c r="AH210" i="4" s="1"/>
  <c r="AL210" i="4" s="1"/>
  <c r="AP210" i="4" s="1"/>
  <c r="AT210" i="4" s="1"/>
  <c r="AX210" i="4" s="1"/>
  <c r="BB210" i="4" s="1"/>
  <c r="BQ210" i="4" s="1"/>
  <c r="AD270" i="4"/>
  <c r="AH270" i="4" s="1"/>
  <c r="AD209" i="4"/>
  <c r="AH209" i="4" s="1"/>
  <c r="AL209" i="4" s="1"/>
  <c r="AP209" i="4" s="1"/>
  <c r="AT209" i="4" s="1"/>
  <c r="AX209" i="4" s="1"/>
  <c r="BB209" i="4" s="1"/>
  <c r="BQ209" i="4" s="1"/>
  <c r="F368" i="4"/>
  <c r="AD368" i="4"/>
  <c r="AH368" i="4" s="1"/>
  <c r="AL368" i="4" s="1"/>
  <c r="AP368" i="4" s="1"/>
  <c r="AT368" i="4" s="1"/>
  <c r="AX368" i="4" s="1"/>
  <c r="BB368" i="4" s="1"/>
  <c r="G368" i="4"/>
  <c r="H368" i="4" l="1"/>
  <c r="F278" i="4"/>
  <c r="AD278" i="4"/>
  <c r="AH278" i="4" s="1"/>
  <c r="G278" i="4"/>
  <c r="AD166" i="4"/>
  <c r="AH166" i="4" s="1"/>
  <c r="AL166" i="4" s="1"/>
  <c r="AP166" i="4" s="1"/>
  <c r="AT166" i="4" s="1"/>
  <c r="AX166" i="4" s="1"/>
  <c r="BB166" i="4" s="1"/>
  <c r="BQ166" i="4" s="1"/>
  <c r="G166" i="4"/>
  <c r="F166" i="4"/>
  <c r="F266" i="4"/>
  <c r="F156" i="4"/>
  <c r="G266" i="4"/>
  <c r="G156" i="4"/>
  <c r="AD268" i="4"/>
  <c r="AH268" i="4" s="1"/>
  <c r="AD206" i="4"/>
  <c r="AH206" i="4" s="1"/>
  <c r="AL206" i="4" s="1"/>
  <c r="AP206" i="4" s="1"/>
  <c r="AT206" i="4" s="1"/>
  <c r="AX206" i="4" s="1"/>
  <c r="BB206" i="4" s="1"/>
  <c r="BQ206" i="4" s="1"/>
  <c r="AD201" i="4"/>
  <c r="AH201" i="4" s="1"/>
  <c r="AL201" i="4" s="1"/>
  <c r="AP201" i="4" s="1"/>
  <c r="AT201" i="4" s="1"/>
  <c r="AX201" i="4" s="1"/>
  <c r="BB201" i="4" s="1"/>
  <c r="BQ201" i="4" s="1"/>
  <c r="AD293" i="4"/>
  <c r="AH293" i="4" s="1"/>
  <c r="AL293" i="4" s="1"/>
  <c r="AD200" i="4"/>
  <c r="AH200" i="4" s="1"/>
  <c r="AL200" i="4" s="1"/>
  <c r="AP200" i="4" s="1"/>
  <c r="AT200" i="4" s="1"/>
  <c r="AX200" i="4" s="1"/>
  <c r="BB200" i="4" s="1"/>
  <c r="BQ200" i="4" s="1"/>
  <c r="AD280" i="4"/>
  <c r="AH280" i="4" s="1"/>
  <c r="AD277" i="4"/>
  <c r="AH277" i="4" s="1"/>
  <c r="AD197" i="4"/>
  <c r="AH197" i="4" s="1"/>
  <c r="AL197" i="4" s="1"/>
  <c r="AP197" i="4" s="1"/>
  <c r="AT197" i="4" s="1"/>
  <c r="AX197" i="4" s="1"/>
  <c r="BB197" i="4" s="1"/>
  <c r="BQ197" i="4" s="1"/>
  <c r="AD196" i="4"/>
  <c r="AH196" i="4" s="1"/>
  <c r="AL196" i="4" s="1"/>
  <c r="AP196" i="4" s="1"/>
  <c r="AT196" i="4" s="1"/>
  <c r="AX196" i="4" s="1"/>
  <c r="BB196" i="4" s="1"/>
  <c r="BQ196" i="4" s="1"/>
  <c r="AD191" i="4"/>
  <c r="AH191" i="4" s="1"/>
  <c r="AL191" i="4" s="1"/>
  <c r="AP191" i="4" s="1"/>
  <c r="AT191" i="4" s="1"/>
  <c r="AX191" i="4" s="1"/>
  <c r="BB191" i="4" s="1"/>
  <c r="BQ191" i="4" s="1"/>
  <c r="AD315" i="4"/>
  <c r="AH315" i="4" s="1"/>
  <c r="AL315" i="4" s="1"/>
  <c r="AP315" i="4" s="1"/>
  <c r="AT315" i="4" s="1"/>
  <c r="AD190" i="4"/>
  <c r="AH190" i="4" s="1"/>
  <c r="AL190" i="4" s="1"/>
  <c r="AP190" i="4" s="1"/>
  <c r="AT190" i="4" s="1"/>
  <c r="AX190" i="4" s="1"/>
  <c r="BB190" i="4" s="1"/>
  <c r="BQ190" i="4" s="1"/>
  <c r="AD284" i="4"/>
  <c r="AH284" i="4" s="1"/>
  <c r="AL284" i="4" s="1"/>
  <c r="AD186" i="4"/>
  <c r="AH186" i="4" s="1"/>
  <c r="AL186" i="4" s="1"/>
  <c r="AP186" i="4" s="1"/>
  <c r="AT186" i="4" s="1"/>
  <c r="AX186" i="4" s="1"/>
  <c r="BB186" i="4" s="1"/>
  <c r="BQ186" i="4" s="1"/>
  <c r="AD283" i="4"/>
  <c r="AH283" i="4" s="1"/>
  <c r="AL283" i="4" s="1"/>
  <c r="AD182" i="4"/>
  <c r="AH182" i="4" s="1"/>
  <c r="AL182" i="4" s="1"/>
  <c r="AP182" i="4" s="1"/>
  <c r="AD180" i="4"/>
  <c r="AH180" i="4" s="1"/>
  <c r="AL180" i="4" s="1"/>
  <c r="AP180" i="4" s="1"/>
  <c r="AT180" i="4" s="1"/>
  <c r="AX180" i="4" s="1"/>
  <c r="BB180" i="4" s="1"/>
  <c r="BQ180" i="4" s="1"/>
  <c r="AD262" i="4"/>
  <c r="AD360" i="4"/>
  <c r="AH360" i="4" s="1"/>
  <c r="AL360" i="4" s="1"/>
  <c r="AP360" i="4" s="1"/>
  <c r="AT360" i="4" s="1"/>
  <c r="AX360" i="4" s="1"/>
  <c r="AD178" i="4"/>
  <c r="AH178" i="4" s="1"/>
  <c r="AL178" i="4" s="1"/>
  <c r="AP178" i="4" s="1"/>
  <c r="AT178" i="4" s="1"/>
  <c r="AX178" i="4" s="1"/>
  <c r="BB178" i="4" s="1"/>
  <c r="BQ178" i="4" s="1"/>
  <c r="AD177" i="4"/>
  <c r="AH177" i="4" s="1"/>
  <c r="AL177" i="4" s="1"/>
  <c r="AP177" i="4" s="1"/>
  <c r="AT177" i="4" s="1"/>
  <c r="AX177" i="4" s="1"/>
  <c r="BB177" i="4" s="1"/>
  <c r="BQ177" i="4" s="1"/>
  <c r="AD289" i="4"/>
  <c r="AH289" i="4" s="1"/>
  <c r="AL289" i="4" s="1"/>
  <c r="AD173" i="4"/>
  <c r="AH173" i="4" s="1"/>
  <c r="AL173" i="4" s="1"/>
  <c r="AP173" i="4" s="1"/>
  <c r="AT173" i="4" s="1"/>
  <c r="AX173" i="4" s="1"/>
  <c r="BB173" i="4" s="1"/>
  <c r="BQ173" i="4" s="1"/>
  <c r="AD171" i="4"/>
  <c r="AH171" i="4" s="1"/>
  <c r="AL171" i="4" s="1"/>
  <c r="AP171" i="4" s="1"/>
  <c r="AT171" i="4" s="1"/>
  <c r="AX171" i="4" s="1"/>
  <c r="BB171" i="4" s="1"/>
  <c r="BQ171" i="4" s="1"/>
  <c r="AD292" i="4"/>
  <c r="AH292" i="4" s="1"/>
  <c r="AL292" i="4" s="1"/>
  <c r="AD323" i="4"/>
  <c r="AH323" i="4" s="1"/>
  <c r="AL323" i="4" s="1"/>
  <c r="AP323" i="4" s="1"/>
  <c r="AT323" i="4" s="1"/>
  <c r="AD302" i="4"/>
  <c r="AH302" i="4" s="1"/>
  <c r="AL302" i="4" s="1"/>
  <c r="AP302" i="4" s="1"/>
  <c r="AT302" i="4" s="1"/>
  <c r="AD300" i="4"/>
  <c r="AH300" i="4" s="1"/>
  <c r="AL300" i="4" s="1"/>
  <c r="AP300" i="4" s="1"/>
  <c r="AT300" i="4" s="1"/>
  <c r="AD279" i="4"/>
  <c r="AH279" i="4" s="1"/>
  <c r="AD164" i="4"/>
  <c r="AH164" i="4" s="1"/>
  <c r="AL164" i="4" s="1"/>
  <c r="AP164" i="4" s="1"/>
  <c r="AT164" i="4" s="1"/>
  <c r="AX164" i="4" s="1"/>
  <c r="BB164" i="4" s="1"/>
  <c r="BQ164" i="4" s="1"/>
  <c r="AD357" i="4"/>
  <c r="AH357" i="4" s="1"/>
  <c r="AL357" i="4" s="1"/>
  <c r="AP357" i="4" s="1"/>
  <c r="AT357" i="4" s="1"/>
  <c r="AX357" i="4" s="1"/>
  <c r="AD160" i="4"/>
  <c r="AH160" i="4" s="1"/>
  <c r="AL160" i="4" s="1"/>
  <c r="AP160" i="4" s="1"/>
  <c r="AT160" i="4" s="1"/>
  <c r="AX160" i="4" s="1"/>
  <c r="BB160" i="4" s="1"/>
  <c r="BQ160" i="4" s="1"/>
  <c r="AD158" i="4"/>
  <c r="AH158" i="4" s="1"/>
  <c r="AL158" i="4" s="1"/>
  <c r="AP158" i="4" s="1"/>
  <c r="AT158" i="4" s="1"/>
  <c r="AX158" i="4" s="1"/>
  <c r="BB158" i="4" s="1"/>
  <c r="BQ158" i="4" s="1"/>
  <c r="AD266" i="4"/>
  <c r="AH266" i="4" s="1"/>
  <c r="AD156" i="4"/>
  <c r="AH156" i="4" s="1"/>
  <c r="AL156" i="4" s="1"/>
  <c r="AP156" i="4" s="1"/>
  <c r="AT156" i="4" s="1"/>
  <c r="AX156" i="4" s="1"/>
  <c r="BB156" i="4" s="1"/>
  <c r="BQ156" i="4" s="1"/>
  <c r="AD54" i="4"/>
  <c r="AH54" i="4" s="1"/>
  <c r="AL54" i="4" s="1"/>
  <c r="AP54" i="4" s="1"/>
  <c r="AT54" i="4" s="1"/>
  <c r="AX54" i="4" s="1"/>
  <c r="BB54" i="4" s="1"/>
  <c r="BQ54" i="4" s="1"/>
  <c r="AD152" i="4"/>
  <c r="AH152" i="4" s="1"/>
  <c r="AL152" i="4" s="1"/>
  <c r="AP152" i="4" s="1"/>
  <c r="AT152" i="4" s="1"/>
  <c r="AX152" i="4" s="1"/>
  <c r="BB152" i="4" s="1"/>
  <c r="BQ152" i="4" s="1"/>
  <c r="AD150" i="4"/>
  <c r="AH150" i="4" s="1"/>
  <c r="AL150" i="4" s="1"/>
  <c r="AP150" i="4" s="1"/>
  <c r="AT150" i="4" s="1"/>
  <c r="AX150" i="4" s="1"/>
  <c r="BB150" i="4" s="1"/>
  <c r="BQ150" i="4" s="1"/>
  <c r="AD149" i="4"/>
  <c r="AH149" i="4" s="1"/>
  <c r="AL149" i="4" s="1"/>
  <c r="AP149" i="4" s="1"/>
  <c r="AT149" i="4" s="1"/>
  <c r="AX149" i="4" s="1"/>
  <c r="BB149" i="4" s="1"/>
  <c r="BQ149" i="4" s="1"/>
  <c r="AD148" i="4"/>
  <c r="AH148" i="4" s="1"/>
  <c r="AL148" i="4" s="1"/>
  <c r="AP148" i="4" s="1"/>
  <c r="AT148" i="4" s="1"/>
  <c r="AX148" i="4" s="1"/>
  <c r="BB148" i="4" s="1"/>
  <c r="BQ148" i="4" s="1"/>
  <c r="F272" i="4"/>
  <c r="AD272" i="4"/>
  <c r="AH272" i="4" s="1"/>
  <c r="G272" i="4"/>
  <c r="AT182" i="4" l="1"/>
  <c r="AX182" i="4" s="1"/>
  <c r="BB182" i="4" s="1"/>
  <c r="BQ182" i="4" s="1"/>
  <c r="H156" i="4"/>
  <c r="H266" i="4"/>
  <c r="H166" i="4"/>
  <c r="H278" i="4"/>
  <c r="H272" i="4"/>
  <c r="AD257" i="4"/>
  <c r="AD256" i="4"/>
  <c r="F263" i="4" l="1"/>
  <c r="F60" i="4"/>
  <c r="G263" i="4"/>
  <c r="AD263" i="4"/>
  <c r="AH263" i="4" s="1"/>
  <c r="AD60" i="4"/>
  <c r="AH60" i="4" s="1"/>
  <c r="AL60" i="4" s="1"/>
  <c r="AP60" i="4" s="1"/>
  <c r="AT60" i="4" s="1"/>
  <c r="AX60" i="4" s="1"/>
  <c r="BB60" i="4" s="1"/>
  <c r="BQ60" i="4" s="1"/>
  <c r="G60" i="4"/>
  <c r="H60" i="4" l="1"/>
  <c r="H263" i="4"/>
  <c r="AD40" i="4" l="1"/>
  <c r="AH40" i="4" s="1"/>
  <c r="AL40" i="4" s="1"/>
  <c r="AP40" i="4" s="1"/>
  <c r="AT40" i="4" s="1"/>
  <c r="AX40" i="4" s="1"/>
  <c r="BB40" i="4" s="1"/>
  <c r="BQ40" i="4" s="1"/>
  <c r="G40" i="4"/>
  <c r="F40" i="4"/>
  <c r="H40" i="4" l="1"/>
  <c r="AD147" i="4"/>
  <c r="AH147" i="4" s="1"/>
  <c r="AL147" i="4" s="1"/>
  <c r="AP147" i="4" s="1"/>
  <c r="AT147" i="4" s="1"/>
  <c r="AX147" i="4" s="1"/>
  <c r="BB147" i="4" s="1"/>
  <c r="BQ147" i="4" s="1"/>
  <c r="AD145" i="4"/>
  <c r="AH145" i="4" s="1"/>
  <c r="AL145" i="4" s="1"/>
  <c r="AP145" i="4" s="1"/>
  <c r="AT145" i="4" s="1"/>
  <c r="AX145" i="4" s="1"/>
  <c r="BB145" i="4" s="1"/>
  <c r="BQ145" i="4" s="1"/>
  <c r="AD144" i="4"/>
  <c r="AH144" i="4" s="1"/>
  <c r="AL144" i="4" s="1"/>
  <c r="AP144" i="4" s="1"/>
  <c r="AT144" i="4" s="1"/>
  <c r="AX144" i="4" s="1"/>
  <c r="BB144" i="4" s="1"/>
  <c r="BQ144" i="4" s="1"/>
  <c r="AD265" i="4"/>
  <c r="AH265" i="4" s="1"/>
  <c r="AD349" i="4"/>
  <c r="AH349" i="4" s="1"/>
  <c r="AL349" i="4" s="1"/>
  <c r="AP349" i="4" s="1"/>
  <c r="AT349" i="4" s="1"/>
  <c r="AX349" i="4" s="1"/>
  <c r="AD135" i="4"/>
  <c r="AH135" i="4" s="1"/>
  <c r="AL135" i="4" s="1"/>
  <c r="AP135" i="4" s="1"/>
  <c r="AT135" i="4" s="1"/>
  <c r="AX135" i="4" s="1"/>
  <c r="BB135" i="4" s="1"/>
  <c r="BQ135" i="4" s="1"/>
  <c r="AD133" i="4"/>
  <c r="AH133" i="4" s="1"/>
  <c r="AL133" i="4" s="1"/>
  <c r="AP133" i="4" s="1"/>
  <c r="AT133" i="4" s="1"/>
  <c r="AX133" i="4" s="1"/>
  <c r="BB133" i="4" s="1"/>
  <c r="BQ133" i="4" s="1"/>
  <c r="AD327" i="4"/>
  <c r="AH327" i="4" s="1"/>
  <c r="AL327" i="4" s="1"/>
  <c r="AP327" i="4" s="1"/>
  <c r="AT327" i="4" s="1"/>
  <c r="AD128" i="4"/>
  <c r="AH128" i="4" s="1"/>
  <c r="AL128" i="4" s="1"/>
  <c r="AP128" i="4" s="1"/>
  <c r="AT128" i="4" s="1"/>
  <c r="AX128" i="4" s="1"/>
  <c r="BB128" i="4" s="1"/>
  <c r="BQ128" i="4" s="1"/>
  <c r="AD127" i="4"/>
  <c r="AH127" i="4" s="1"/>
  <c r="AL127" i="4" s="1"/>
  <c r="AP127" i="4" s="1"/>
  <c r="AT127" i="4" s="1"/>
  <c r="AX127" i="4" s="1"/>
  <c r="BB127" i="4" s="1"/>
  <c r="BQ127" i="4" s="1"/>
  <c r="AD125" i="4"/>
  <c r="AH125" i="4" s="1"/>
  <c r="AL125" i="4" s="1"/>
  <c r="AP125" i="4" s="1"/>
  <c r="AT125" i="4" s="1"/>
  <c r="AX125" i="4" s="1"/>
  <c r="BB125" i="4" s="1"/>
  <c r="BQ125" i="4" s="1"/>
  <c r="AD123" i="4"/>
  <c r="AH123" i="4" s="1"/>
  <c r="AL123" i="4" s="1"/>
  <c r="AP123" i="4" s="1"/>
  <c r="AT123" i="4" s="1"/>
  <c r="AX123" i="4" s="1"/>
  <c r="BB123" i="4" s="1"/>
  <c r="BQ123" i="4" s="1"/>
  <c r="AD294" i="4"/>
  <c r="AH294" i="4" s="1"/>
  <c r="AL294" i="4" s="1"/>
  <c r="AD356" i="4"/>
  <c r="AH356" i="4" s="1"/>
  <c r="AL356" i="4" s="1"/>
  <c r="AP356" i="4" s="1"/>
  <c r="AT356" i="4" s="1"/>
  <c r="AX356" i="4" s="1"/>
  <c r="AD120" i="4"/>
  <c r="AH120" i="4" s="1"/>
  <c r="AL120" i="4" s="1"/>
  <c r="AP120" i="4" s="1"/>
  <c r="AT120" i="4" s="1"/>
  <c r="AX120" i="4" s="1"/>
  <c r="BB120" i="4" s="1"/>
  <c r="BQ120" i="4" s="1"/>
  <c r="AD259" i="4"/>
  <c r="AD260" i="4"/>
  <c r="AD117" i="4"/>
  <c r="AH117" i="4" s="1"/>
  <c r="AL117" i="4" s="1"/>
  <c r="AP117" i="4" s="1"/>
  <c r="AT117" i="4" s="1"/>
  <c r="AX117" i="4" s="1"/>
  <c r="BB117" i="4" s="1"/>
  <c r="BQ117" i="4" s="1"/>
  <c r="AD116" i="4"/>
  <c r="AH116" i="4" s="1"/>
  <c r="AL116" i="4" s="1"/>
  <c r="AP116" i="4" s="1"/>
  <c r="AT116" i="4" s="1"/>
  <c r="AX116" i="4" s="1"/>
  <c r="BB116" i="4" s="1"/>
  <c r="BQ116" i="4" s="1"/>
  <c r="AD115" i="4"/>
  <c r="AH115" i="4" s="1"/>
  <c r="AL115" i="4" s="1"/>
  <c r="AP115" i="4" s="1"/>
  <c r="AT115" i="4" s="1"/>
  <c r="AX115" i="4" s="1"/>
  <c r="BB115" i="4" s="1"/>
  <c r="BQ115" i="4" s="1"/>
  <c r="AD341" i="4"/>
  <c r="AH341" i="4" s="1"/>
  <c r="AL341" i="4" s="1"/>
  <c r="AP341" i="4" s="1"/>
  <c r="AT341" i="4" s="1"/>
  <c r="AX341" i="4" s="1"/>
  <c r="AD114" i="4"/>
  <c r="AH114" i="4" s="1"/>
  <c r="AL114" i="4" s="1"/>
  <c r="AP114" i="4" s="1"/>
  <c r="AT114" i="4" s="1"/>
  <c r="AX114" i="4" s="1"/>
  <c r="BB114" i="4" s="1"/>
  <c r="BQ114" i="4" s="1"/>
  <c r="AD113" i="4"/>
  <c r="AH113" i="4" s="1"/>
  <c r="AL113" i="4" s="1"/>
  <c r="AP113" i="4" s="1"/>
  <c r="AT113" i="4" s="1"/>
  <c r="AX113" i="4" s="1"/>
  <c r="BB113" i="4" s="1"/>
  <c r="BQ113" i="4" s="1"/>
  <c r="AD111" i="4"/>
  <c r="AH111" i="4" s="1"/>
  <c r="AL111" i="4" s="1"/>
  <c r="AP111" i="4" s="1"/>
  <c r="AT111" i="4" s="1"/>
  <c r="AX111" i="4" s="1"/>
  <c r="BB111" i="4" s="1"/>
  <c r="BQ111" i="4" s="1"/>
  <c r="AD282" i="4"/>
  <c r="AH282" i="4" s="1"/>
  <c r="AL282" i="4" s="1"/>
  <c r="AD330" i="4"/>
  <c r="AH330" i="4" s="1"/>
  <c r="AL330" i="4" s="1"/>
  <c r="AP330" i="4" s="1"/>
  <c r="AT330" i="4" s="1"/>
  <c r="AD106" i="4"/>
  <c r="AH106" i="4" s="1"/>
  <c r="AL106" i="4" s="1"/>
  <c r="AP106" i="4" s="1"/>
  <c r="AT106" i="4" s="1"/>
  <c r="AX106" i="4" s="1"/>
  <c r="BB106" i="4" s="1"/>
  <c r="BQ106" i="4" s="1"/>
  <c r="AD105" i="4"/>
  <c r="AH105" i="4" s="1"/>
  <c r="AL105" i="4" s="1"/>
  <c r="AP105" i="4" s="1"/>
  <c r="AT105" i="4" s="1"/>
  <c r="AX105" i="4" s="1"/>
  <c r="BB105" i="4" s="1"/>
  <c r="BQ105" i="4" s="1"/>
  <c r="AD103" i="4"/>
  <c r="AH103" i="4" s="1"/>
  <c r="AL103" i="4" s="1"/>
  <c r="AP103" i="4" s="1"/>
  <c r="AT103" i="4" s="1"/>
  <c r="AX103" i="4" s="1"/>
  <c r="BB103" i="4" s="1"/>
  <c r="BQ103" i="4" s="1"/>
  <c r="AD101" i="4"/>
  <c r="AH101" i="4" s="1"/>
  <c r="AL101" i="4" s="1"/>
  <c r="AP101" i="4" s="1"/>
  <c r="AT101" i="4" s="1"/>
  <c r="AX101" i="4" s="1"/>
  <c r="BB101" i="4" s="1"/>
  <c r="BQ101" i="4" s="1"/>
  <c r="AD347" i="4"/>
  <c r="AH347" i="4" s="1"/>
  <c r="AL347" i="4" s="1"/>
  <c r="AP347" i="4" s="1"/>
  <c r="AT347" i="4" s="1"/>
  <c r="AX347" i="4" s="1"/>
  <c r="AD97" i="4"/>
  <c r="AH97" i="4" s="1"/>
  <c r="AL97" i="4" s="1"/>
  <c r="AP97" i="4" s="1"/>
  <c r="AT97" i="4" s="1"/>
  <c r="AX97" i="4" s="1"/>
  <c r="BB97" i="4" s="1"/>
  <c r="BQ97" i="4" s="1"/>
  <c r="AD119" i="4"/>
  <c r="AH119" i="4" s="1"/>
  <c r="AL119" i="4" s="1"/>
  <c r="AP119" i="4" s="1"/>
  <c r="AT119" i="4" s="1"/>
  <c r="AX119" i="4" s="1"/>
  <c r="BB119" i="4" s="1"/>
  <c r="BQ119" i="4" s="1"/>
  <c r="AD96" i="4"/>
  <c r="AH96" i="4" s="1"/>
  <c r="AL96" i="4" s="1"/>
  <c r="AP96" i="4" s="1"/>
  <c r="AT96" i="4" s="1"/>
  <c r="AX96" i="4" s="1"/>
  <c r="BB96" i="4" s="1"/>
  <c r="BQ96" i="4" s="1"/>
  <c r="AD95" i="4"/>
  <c r="AH95" i="4" s="1"/>
  <c r="AL95" i="4" s="1"/>
  <c r="AP95" i="4" s="1"/>
  <c r="AT95" i="4" s="1"/>
  <c r="AX95" i="4" s="1"/>
  <c r="BB95" i="4" s="1"/>
  <c r="BQ95" i="4" s="1"/>
  <c r="AD94" i="4"/>
  <c r="AH94" i="4" s="1"/>
  <c r="AL94" i="4" s="1"/>
  <c r="AP94" i="4" s="1"/>
  <c r="AT94" i="4" s="1"/>
  <c r="AX94" i="4" s="1"/>
  <c r="BB94" i="4" s="1"/>
  <c r="BQ94" i="4" s="1"/>
  <c r="AD306" i="4"/>
  <c r="AH306" i="4" s="1"/>
  <c r="AL306" i="4" s="1"/>
  <c r="AP306" i="4" s="1"/>
  <c r="AT306" i="4" s="1"/>
  <c r="AD93" i="4"/>
  <c r="AH93" i="4" s="1"/>
  <c r="AL93" i="4" s="1"/>
  <c r="AP93" i="4" s="1"/>
  <c r="AT93" i="4" s="1"/>
  <c r="AX93" i="4" s="1"/>
  <c r="BB93" i="4" s="1"/>
  <c r="BQ93" i="4" s="1"/>
  <c r="AD92" i="4"/>
  <c r="AH92" i="4" s="1"/>
  <c r="AL92" i="4" s="1"/>
  <c r="AP92" i="4" s="1"/>
  <c r="AT92" i="4" s="1"/>
  <c r="AX92" i="4" s="1"/>
  <c r="BB92" i="4" s="1"/>
  <c r="BQ92" i="4" s="1"/>
  <c r="AD91" i="4"/>
  <c r="AH91" i="4" s="1"/>
  <c r="AL91" i="4" s="1"/>
  <c r="AP91" i="4" s="1"/>
  <c r="AT91" i="4" s="1"/>
  <c r="AX91" i="4" s="1"/>
  <c r="BB91" i="4" s="1"/>
  <c r="BQ91" i="4" s="1"/>
  <c r="AD90" i="4"/>
  <c r="AH90" i="4" s="1"/>
  <c r="AL90" i="4" s="1"/>
  <c r="AP90" i="4" s="1"/>
  <c r="AT90" i="4" s="1"/>
  <c r="AX90" i="4" s="1"/>
  <c r="BB90" i="4" s="1"/>
  <c r="BQ90" i="4" s="1"/>
  <c r="AD89" i="4"/>
  <c r="AH89" i="4" s="1"/>
  <c r="AL89" i="4" s="1"/>
  <c r="AP89" i="4" s="1"/>
  <c r="AT89" i="4" s="1"/>
  <c r="AX89" i="4" s="1"/>
  <c r="BB89" i="4" s="1"/>
  <c r="BQ89" i="4" s="1"/>
  <c r="AD87" i="4"/>
  <c r="AH87" i="4" s="1"/>
  <c r="AL87" i="4" s="1"/>
  <c r="AP87" i="4" s="1"/>
  <c r="AT87" i="4" s="1"/>
  <c r="AX87" i="4" s="1"/>
  <c r="BB87" i="4" s="1"/>
  <c r="BQ87" i="4" s="1"/>
  <c r="AD84" i="4"/>
  <c r="AH84" i="4" s="1"/>
  <c r="AL84" i="4" s="1"/>
  <c r="AP84" i="4" s="1"/>
  <c r="AT84" i="4" s="1"/>
  <c r="AX84" i="4" s="1"/>
  <c r="BB84" i="4" s="1"/>
  <c r="BQ84" i="4" s="1"/>
  <c r="AD264" i="4"/>
  <c r="AH264" i="4" s="1"/>
  <c r="AD79" i="4"/>
  <c r="AH79" i="4" s="1"/>
  <c r="AL79" i="4" s="1"/>
  <c r="AP79" i="4" s="1"/>
  <c r="AT79" i="4" s="1"/>
  <c r="AX79" i="4" s="1"/>
  <c r="BB79" i="4" s="1"/>
  <c r="BQ79" i="4" s="1"/>
  <c r="AD76" i="4"/>
  <c r="AH76" i="4" s="1"/>
  <c r="AL76" i="4" s="1"/>
  <c r="AP76" i="4" s="1"/>
  <c r="AT76" i="4" s="1"/>
  <c r="AX76" i="4" s="1"/>
  <c r="BB76" i="4" s="1"/>
  <c r="BQ76" i="4" s="1"/>
  <c r="AD75" i="4"/>
  <c r="AH75" i="4" s="1"/>
  <c r="AL75" i="4" s="1"/>
  <c r="AP75" i="4" s="1"/>
  <c r="AT75" i="4" s="1"/>
  <c r="AX75" i="4" s="1"/>
  <c r="BB75" i="4" s="1"/>
  <c r="BQ75" i="4" s="1"/>
  <c r="AD74" i="4"/>
  <c r="AH74" i="4" s="1"/>
  <c r="AL74" i="4" s="1"/>
  <c r="AP74" i="4" s="1"/>
  <c r="AT74" i="4" s="1"/>
  <c r="AX74" i="4" s="1"/>
  <c r="BB74" i="4" s="1"/>
  <c r="BQ74" i="4" s="1"/>
  <c r="AD73" i="4"/>
  <c r="AH73" i="4" s="1"/>
  <c r="AL73" i="4" s="1"/>
  <c r="AP73" i="4" s="1"/>
  <c r="AT73" i="4" s="1"/>
  <c r="AX73" i="4" s="1"/>
  <c r="BB73" i="4" s="1"/>
  <c r="BQ73" i="4" s="1"/>
  <c r="AD70" i="4"/>
  <c r="AH70" i="4" s="1"/>
  <c r="AL70" i="4" s="1"/>
  <c r="AP70" i="4" s="1"/>
  <c r="AT70" i="4" s="1"/>
  <c r="AX70" i="4" s="1"/>
  <c r="BB70" i="4" s="1"/>
  <c r="BQ70" i="4" s="1"/>
  <c r="AD69" i="4"/>
  <c r="AH69" i="4" s="1"/>
  <c r="AL69" i="4" s="1"/>
  <c r="AP69" i="4" s="1"/>
  <c r="AT69" i="4" s="1"/>
  <c r="AX69" i="4" s="1"/>
  <c r="BB69" i="4" s="1"/>
  <c r="BQ69" i="4" s="1"/>
  <c r="AD67" i="4"/>
  <c r="AH67" i="4" s="1"/>
  <c r="AL67" i="4" s="1"/>
  <c r="AP67" i="4" s="1"/>
  <c r="AT67" i="4" s="1"/>
  <c r="AX67" i="4" s="1"/>
  <c r="BB67" i="4" s="1"/>
  <c r="BQ67" i="4" s="1"/>
  <c r="AD276" i="4"/>
  <c r="AH276" i="4" s="1"/>
  <c r="AD63" i="4"/>
  <c r="AH63" i="4" s="1"/>
  <c r="AL63" i="4" s="1"/>
  <c r="AP63" i="4" s="1"/>
  <c r="AT63" i="4" s="1"/>
  <c r="AX63" i="4" s="1"/>
  <c r="BB63" i="4" s="1"/>
  <c r="BQ63" i="4" s="1"/>
  <c r="AD290" i="4"/>
  <c r="AH290" i="4" s="1"/>
  <c r="AL290" i="4" s="1"/>
  <c r="AD62" i="4"/>
  <c r="AH62" i="4" s="1"/>
  <c r="AL62" i="4" s="1"/>
  <c r="AP62" i="4" s="1"/>
  <c r="AT62" i="4" s="1"/>
  <c r="AX62" i="4" s="1"/>
  <c r="BB62" i="4" s="1"/>
  <c r="BQ62" i="4" s="1"/>
  <c r="AD56" i="4"/>
  <c r="AH56" i="4" s="1"/>
  <c r="AL56" i="4" s="1"/>
  <c r="AP56" i="4" s="1"/>
  <c r="AT56" i="4" s="1"/>
  <c r="AX56" i="4" s="1"/>
  <c r="BB56" i="4" s="1"/>
  <c r="BQ56" i="4" s="1"/>
  <c r="AD53" i="4"/>
  <c r="AH53" i="4" s="1"/>
  <c r="AL53" i="4" s="1"/>
  <c r="AP53" i="4" s="1"/>
  <c r="AT53" i="4" s="1"/>
  <c r="AX53" i="4" s="1"/>
  <c r="BB53" i="4" s="1"/>
  <c r="BQ53" i="4" s="1"/>
  <c r="AD51" i="4"/>
  <c r="AH51" i="4" s="1"/>
  <c r="AL51" i="4" s="1"/>
  <c r="AP51" i="4" s="1"/>
  <c r="AT51" i="4" s="1"/>
  <c r="AX51" i="4" s="1"/>
  <c r="BB51" i="4" s="1"/>
  <c r="BQ51" i="4" s="1"/>
  <c r="AD48" i="4"/>
  <c r="AH48" i="4" s="1"/>
  <c r="AL48" i="4" s="1"/>
  <c r="AP48" i="4" s="1"/>
  <c r="AT48" i="4" s="1"/>
  <c r="AX48" i="4" s="1"/>
  <c r="BB48" i="4" s="1"/>
  <c r="BQ48" i="4" s="1"/>
  <c r="AD47" i="4"/>
  <c r="AH47" i="4" s="1"/>
  <c r="AL47" i="4" s="1"/>
  <c r="AP47" i="4" s="1"/>
  <c r="AT47" i="4" s="1"/>
  <c r="AX47" i="4" s="1"/>
  <c r="BB47" i="4" s="1"/>
  <c r="BQ47" i="4" s="1"/>
  <c r="AD46" i="4"/>
  <c r="AH46" i="4" s="1"/>
  <c r="AL46" i="4" s="1"/>
  <c r="AP46" i="4" s="1"/>
  <c r="AT46" i="4" s="1"/>
  <c r="AX46" i="4" s="1"/>
  <c r="BB46" i="4" s="1"/>
  <c r="BQ46" i="4" s="1"/>
  <c r="AD45" i="4"/>
  <c r="AH45" i="4" s="1"/>
  <c r="AL45" i="4" s="1"/>
  <c r="AP45" i="4" s="1"/>
  <c r="AT45" i="4" s="1"/>
  <c r="AX45" i="4" s="1"/>
  <c r="BB45" i="4" s="1"/>
  <c r="BQ45" i="4" s="1"/>
  <c r="AD44" i="4"/>
  <c r="AH44" i="4" s="1"/>
  <c r="AL44" i="4" s="1"/>
  <c r="AP44" i="4" s="1"/>
  <c r="AT44" i="4" s="1"/>
  <c r="AX44" i="4" s="1"/>
  <c r="BB44" i="4" s="1"/>
  <c r="BQ44" i="4" s="1"/>
  <c r="AD41" i="4"/>
  <c r="AH41" i="4" s="1"/>
  <c r="AL41" i="4" s="1"/>
  <c r="AP41" i="4" s="1"/>
  <c r="AT41" i="4" s="1"/>
  <c r="AX41" i="4" s="1"/>
  <c r="BB41" i="4" s="1"/>
  <c r="BQ41" i="4" s="1"/>
  <c r="AD338" i="4"/>
  <c r="AH338" i="4" s="1"/>
  <c r="AL338" i="4" s="1"/>
  <c r="AP338" i="4" s="1"/>
  <c r="AT338" i="4" s="1"/>
  <c r="AX338" i="4" s="1"/>
  <c r="AD385" i="4"/>
  <c r="AH385" i="4" s="1"/>
  <c r="AL385" i="4" s="1"/>
  <c r="AP385" i="4" s="1"/>
  <c r="AT385" i="4" s="1"/>
  <c r="AX385" i="4" s="1"/>
  <c r="BB385" i="4" s="1"/>
  <c r="AD39" i="4"/>
  <c r="AH39" i="4" s="1"/>
  <c r="AL39" i="4" s="1"/>
  <c r="AP39" i="4" s="1"/>
  <c r="AT39" i="4" s="1"/>
  <c r="AX39" i="4" s="1"/>
  <c r="BB39" i="4" s="1"/>
  <c r="BQ39" i="4" s="1"/>
  <c r="AD38" i="4"/>
  <c r="AH38" i="4" s="1"/>
  <c r="AL38" i="4" s="1"/>
  <c r="AP38" i="4" s="1"/>
  <c r="AT38" i="4" s="1"/>
  <c r="AX38" i="4" s="1"/>
  <c r="BB38" i="4" s="1"/>
  <c r="BQ38" i="4" s="1"/>
  <c r="AD355" i="4"/>
  <c r="AH355" i="4" s="1"/>
  <c r="AL355" i="4" s="1"/>
  <c r="AP355" i="4" s="1"/>
  <c r="AT355" i="4" s="1"/>
  <c r="AX355" i="4" s="1"/>
  <c r="AD37" i="4"/>
  <c r="AH37" i="4" s="1"/>
  <c r="AL37" i="4" s="1"/>
  <c r="AP37" i="4" s="1"/>
  <c r="AT37" i="4" s="1"/>
  <c r="AX37" i="4" s="1"/>
  <c r="BB37" i="4" s="1"/>
  <c r="BQ37" i="4" s="1"/>
  <c r="AD35" i="4"/>
  <c r="AH35" i="4" s="1"/>
  <c r="AL35" i="4" s="1"/>
  <c r="AP35" i="4" s="1"/>
  <c r="AT35" i="4" s="1"/>
  <c r="AX35" i="4" s="1"/>
  <c r="BB35" i="4" s="1"/>
  <c r="BQ35" i="4" s="1"/>
  <c r="AD34" i="4"/>
  <c r="AH34" i="4" s="1"/>
  <c r="AL34" i="4" s="1"/>
  <c r="AP34" i="4" s="1"/>
  <c r="AT34" i="4" s="1"/>
  <c r="AX34" i="4" s="1"/>
  <c r="BB34" i="4" s="1"/>
  <c r="BQ34" i="4" s="1"/>
  <c r="AD29" i="4"/>
  <c r="AH29" i="4" s="1"/>
  <c r="AL29" i="4" s="1"/>
  <c r="AP29" i="4" s="1"/>
  <c r="AT29" i="4" s="1"/>
  <c r="AX29" i="4" s="1"/>
  <c r="BB29" i="4" s="1"/>
  <c r="BQ29" i="4" s="1"/>
  <c r="AD139" i="4"/>
  <c r="AH139" i="4" s="1"/>
  <c r="AL139" i="4" s="1"/>
  <c r="AP139" i="4" s="1"/>
  <c r="AT139" i="4" s="1"/>
  <c r="AX139" i="4" s="1"/>
  <c r="BB139" i="4" s="1"/>
  <c r="BQ139" i="4" s="1"/>
  <c r="AD28" i="4"/>
  <c r="AH28" i="4" s="1"/>
  <c r="AL28" i="4" s="1"/>
  <c r="AP28" i="4" s="1"/>
  <c r="AT28" i="4" s="1"/>
  <c r="AX28" i="4" s="1"/>
  <c r="BB28" i="4" s="1"/>
  <c r="BQ28" i="4" s="1"/>
  <c r="AD25" i="4"/>
  <c r="AH25" i="4" s="1"/>
  <c r="AL25" i="4" s="1"/>
  <c r="AP25" i="4" s="1"/>
  <c r="AT25" i="4" s="1"/>
  <c r="AX25" i="4" s="1"/>
  <c r="BB25" i="4" s="1"/>
  <c r="BQ25" i="4" s="1"/>
  <c r="AD271" i="4"/>
  <c r="AH271" i="4" s="1"/>
  <c r="AD337" i="4"/>
  <c r="AH337" i="4" s="1"/>
  <c r="AL337" i="4" s="1"/>
  <c r="AP337" i="4" s="1"/>
  <c r="AT337" i="4" s="1"/>
  <c r="AX337" i="4" s="1"/>
  <c r="AD23" i="4"/>
  <c r="AH23" i="4" s="1"/>
  <c r="AL23" i="4" s="1"/>
  <c r="AP23" i="4" s="1"/>
  <c r="AT23" i="4" s="1"/>
  <c r="AX23" i="4" s="1"/>
  <c r="BB23" i="4" s="1"/>
  <c r="BQ23" i="4" s="1"/>
  <c r="AD19" i="4"/>
  <c r="AH19" i="4" s="1"/>
  <c r="AL19" i="4" s="1"/>
  <c r="AP19" i="4" s="1"/>
  <c r="AT19" i="4" s="1"/>
  <c r="AX19" i="4" s="1"/>
  <c r="BB19" i="4" s="1"/>
  <c r="BQ19" i="4" s="1"/>
  <c r="AD17" i="4"/>
  <c r="AH17" i="4" s="1"/>
  <c r="AL17" i="4" s="1"/>
  <c r="AP17" i="4" s="1"/>
  <c r="AT17" i="4" s="1"/>
  <c r="AX17" i="4" s="1"/>
  <c r="BB17" i="4" s="1"/>
  <c r="BQ17" i="4" s="1"/>
  <c r="AD281" i="4"/>
  <c r="AH281" i="4" s="1"/>
  <c r="AD15" i="4"/>
  <c r="AH15" i="4" s="1"/>
  <c r="AL15" i="4" s="1"/>
  <c r="AP15" i="4" s="1"/>
  <c r="AT15" i="4" s="1"/>
  <c r="AX15" i="4" s="1"/>
  <c r="BB15" i="4" s="1"/>
  <c r="BQ15" i="4" s="1"/>
  <c r="AD14" i="4"/>
  <c r="AH14" i="4" s="1"/>
  <c r="AL14" i="4" s="1"/>
  <c r="AP14" i="4" s="1"/>
  <c r="AT14" i="4" s="1"/>
  <c r="AX14" i="4" s="1"/>
  <c r="BB14" i="4" s="1"/>
  <c r="BQ14" i="4" s="1"/>
  <c r="AD13" i="4"/>
  <c r="AH13" i="4" s="1"/>
  <c r="AL13" i="4" s="1"/>
  <c r="AP13" i="4" s="1"/>
  <c r="AT13" i="4" s="1"/>
  <c r="AX13" i="4" s="1"/>
  <c r="BB13" i="4" s="1"/>
  <c r="BQ13" i="4" s="1"/>
  <c r="AD301" i="4"/>
  <c r="AH301" i="4" s="1"/>
  <c r="AL301" i="4" s="1"/>
  <c r="AP301" i="4" s="1"/>
  <c r="AT301" i="4" s="1"/>
  <c r="AD297" i="4"/>
  <c r="AH297" i="4" s="1"/>
  <c r="AL297" i="4" s="1"/>
  <c r="AP297" i="4" s="1"/>
  <c r="AT297" i="4" s="1"/>
  <c r="AD18" i="4"/>
  <c r="AH18" i="4" s="1"/>
  <c r="AL18" i="4" s="1"/>
  <c r="AP18" i="4" s="1"/>
  <c r="AT18" i="4" s="1"/>
  <c r="AX18" i="4" s="1"/>
  <c r="BB18" i="4" s="1"/>
  <c r="BQ18" i="4" s="1"/>
  <c r="G18" i="4" l="1"/>
  <c r="F18" i="4"/>
  <c r="H18" i="4" l="1"/>
  <c r="G97" i="4"/>
  <c r="F97" i="4"/>
  <c r="H97" i="4" l="1"/>
  <c r="G28" i="4" l="1"/>
  <c r="F28" i="4"/>
  <c r="H28" i="4" l="1"/>
  <c r="G385" i="4"/>
  <c r="F385" i="4"/>
  <c r="G347" i="4"/>
  <c r="F347" i="4"/>
  <c r="H347" i="4" l="1"/>
  <c r="H385" i="4"/>
  <c r="G334" i="4"/>
  <c r="F334" i="4"/>
  <c r="H334" i="4" l="1"/>
  <c r="G330" i="4"/>
  <c r="F330" i="4"/>
  <c r="H330" i="4" l="1"/>
  <c r="F15" i="4" l="1"/>
  <c r="H15" i="4" l="1"/>
  <c r="G265" i="4"/>
  <c r="F265" i="4"/>
  <c r="H265" i="4" l="1"/>
  <c r="G90" i="4"/>
  <c r="F90" i="4"/>
  <c r="H90" i="4" l="1"/>
  <c r="G292" i="4"/>
  <c r="F292" i="4"/>
  <c r="H292" i="4" l="1"/>
  <c r="G259" i="4"/>
  <c r="F259" i="4"/>
  <c r="H259" i="4" l="1"/>
  <c r="G39" i="4"/>
  <c r="F39" i="4"/>
  <c r="G284" i="4"/>
  <c r="F284" i="4"/>
  <c r="G37" i="4"/>
  <c r="H37" i="4" s="1"/>
  <c r="G257" i="4"/>
  <c r="F257" i="4"/>
  <c r="H39" i="4" l="1"/>
  <c r="H284" i="4"/>
  <c r="H257" i="4"/>
  <c r="G25" i="4"/>
  <c r="F25" i="4"/>
  <c r="H25" i="4" l="1"/>
  <c r="G75" i="4"/>
  <c r="F75" i="4"/>
  <c r="H75" i="4" l="1"/>
  <c r="F148" i="4"/>
  <c r="G148" i="4"/>
  <c r="H148" i="4" l="1"/>
  <c r="G282" i="4"/>
  <c r="F282" i="4"/>
  <c r="H282" i="4" l="1"/>
  <c r="W3" i="4"/>
  <c r="G41" i="4" l="1"/>
  <c r="F41" i="4"/>
  <c r="H41" i="4" l="1"/>
  <c r="F14" i="4" l="1"/>
  <c r="G209" i="4" l="1"/>
  <c r="F209" i="4"/>
  <c r="F196" i="4"/>
  <c r="G186" i="4"/>
  <c r="F186" i="4"/>
  <c r="G302" i="4"/>
  <c r="F302" i="4"/>
  <c r="G164" i="4"/>
  <c r="F164" i="4"/>
  <c r="G152" i="4"/>
  <c r="F152" i="4"/>
  <c r="G254" i="4"/>
  <c r="F254" i="4"/>
  <c r="G125" i="4"/>
  <c r="F125" i="4"/>
  <c r="G294" i="4"/>
  <c r="F294" i="4"/>
  <c r="G260" i="4"/>
  <c r="F260" i="4"/>
  <c r="G341" i="4"/>
  <c r="F341" i="4"/>
  <c r="G101" i="4"/>
  <c r="F101" i="4"/>
  <c r="G246" i="4"/>
  <c r="F246" i="4"/>
  <c r="G95" i="4"/>
  <c r="F95" i="4"/>
  <c r="G76" i="4"/>
  <c r="F76" i="4"/>
  <c r="H209" i="4" l="1"/>
  <c r="H196" i="4"/>
  <c r="H186" i="4"/>
  <c r="H302" i="4"/>
  <c r="H254" i="4"/>
  <c r="H152" i="4"/>
  <c r="H164" i="4"/>
  <c r="H294" i="4"/>
  <c r="H76" i="4"/>
  <c r="H125" i="4"/>
  <c r="H101" i="4"/>
  <c r="H260" i="4"/>
  <c r="H95" i="4"/>
  <c r="H341" i="4"/>
  <c r="H246" i="4"/>
  <c r="G35" i="4"/>
  <c r="F35" i="4"/>
  <c r="G301" i="4"/>
  <c r="F301" i="4"/>
  <c r="H35" i="4" l="1"/>
  <c r="H301" i="4"/>
  <c r="H14" i="4"/>
  <c r="G241" i="4"/>
  <c r="F241" i="4"/>
  <c r="G240" i="4"/>
  <c r="F240" i="4"/>
  <c r="G239" i="4"/>
  <c r="F239" i="4"/>
  <c r="G238" i="4"/>
  <c r="F238" i="4"/>
  <c r="G237" i="4"/>
  <c r="F237" i="4"/>
  <c r="G236" i="4"/>
  <c r="F236" i="4"/>
  <c r="G235" i="4"/>
  <c r="F235" i="4"/>
  <c r="G234" i="4"/>
  <c r="F234" i="4"/>
  <c r="G233" i="4"/>
  <c r="F233" i="4"/>
  <c r="G232" i="4"/>
  <c r="F232" i="4"/>
  <c r="G231" i="4"/>
  <c r="F231" i="4"/>
  <c r="G230" i="4"/>
  <c r="F230" i="4"/>
  <c r="G229" i="4"/>
  <c r="F229" i="4"/>
  <c r="G228" i="4"/>
  <c r="F228" i="4"/>
  <c r="G227" i="4"/>
  <c r="F227" i="4"/>
  <c r="G226" i="4"/>
  <c r="F226" i="4"/>
  <c r="G225" i="4"/>
  <c r="F225" i="4"/>
  <c r="G224" i="4"/>
  <c r="F224" i="4"/>
  <c r="G223" i="4"/>
  <c r="F223" i="4"/>
  <c r="G222" i="4"/>
  <c r="F222" i="4"/>
  <c r="G221" i="4"/>
  <c r="F221" i="4"/>
  <c r="G220" i="4"/>
  <c r="F220" i="4"/>
  <c r="G219" i="4"/>
  <c r="F219" i="4"/>
  <c r="G218" i="4"/>
  <c r="F218" i="4"/>
  <c r="G210" i="4"/>
  <c r="G270" i="4"/>
  <c r="G268" i="4"/>
  <c r="G206" i="4"/>
  <c r="G201" i="4"/>
  <c r="G293" i="4"/>
  <c r="G200" i="4"/>
  <c r="G280" i="4"/>
  <c r="G277" i="4"/>
  <c r="G197" i="4"/>
  <c r="G191" i="4"/>
  <c r="G315" i="4"/>
  <c r="G190" i="4"/>
  <c r="G283" i="4"/>
  <c r="G182" i="4"/>
  <c r="G180" i="4"/>
  <c r="G262" i="4"/>
  <c r="G360" i="4"/>
  <c r="G178" i="4"/>
  <c r="G177" i="4"/>
  <c r="G289" i="4"/>
  <c r="G173" i="4"/>
  <c r="G251" i="4"/>
  <c r="G171" i="4"/>
  <c r="G323" i="4"/>
  <c r="G250" i="4"/>
  <c r="G300" i="4"/>
  <c r="G279" i="4"/>
  <c r="G249" i="4"/>
  <c r="G357" i="4"/>
  <c r="G160" i="4"/>
  <c r="G158" i="4"/>
  <c r="G54" i="4"/>
  <c r="G150" i="4"/>
  <c r="G149" i="4"/>
  <c r="G261" i="4"/>
  <c r="G147" i="4"/>
  <c r="G145" i="4"/>
  <c r="G144" i="4"/>
  <c r="G248" i="4"/>
  <c r="G349" i="4"/>
  <c r="G135" i="4"/>
  <c r="G133" i="4"/>
  <c r="G327" i="4"/>
  <c r="G128" i="4"/>
  <c r="G127" i="4"/>
  <c r="G123" i="4"/>
  <c r="G356" i="4"/>
  <c r="G120" i="4"/>
  <c r="G252" i="4"/>
  <c r="G117" i="4"/>
  <c r="G247" i="4"/>
  <c r="G116" i="4"/>
  <c r="G115" i="4"/>
  <c r="G114" i="4"/>
  <c r="G113" i="4"/>
  <c r="G111" i="4"/>
  <c r="G106" i="4"/>
  <c r="G105" i="4"/>
  <c r="G103" i="4"/>
  <c r="G119" i="4"/>
  <c r="G96" i="4"/>
  <c r="G94" i="4"/>
  <c r="G306" i="4"/>
  <c r="G93" i="4"/>
  <c r="G92" i="4"/>
  <c r="G91" i="4"/>
  <c r="G89" i="4"/>
  <c r="G87" i="4"/>
  <c r="G256" i="4"/>
  <c r="G84" i="4"/>
  <c r="G264" i="4"/>
  <c r="G79" i="4"/>
  <c r="G74" i="4"/>
  <c r="G245" i="4"/>
  <c r="G244" i="4"/>
  <c r="G73" i="4"/>
  <c r="G70" i="4"/>
  <c r="G255" i="4"/>
  <c r="G69" i="4"/>
  <c r="G67" i="4"/>
  <c r="G276" i="4"/>
  <c r="G63" i="4"/>
  <c r="G290" i="4"/>
  <c r="G243" i="4"/>
  <c r="G62" i="4"/>
  <c r="G56" i="4"/>
  <c r="G253" i="4"/>
  <c r="G53" i="4"/>
  <c r="G51" i="4"/>
  <c r="G242" i="4"/>
  <c r="G48" i="4"/>
  <c r="G47" i="4"/>
  <c r="G46" i="4"/>
  <c r="G45" i="4"/>
  <c r="G44" i="4"/>
  <c r="G338" i="4"/>
  <c r="G38" i="4"/>
  <c r="G355" i="4"/>
  <c r="G34" i="4"/>
  <c r="G29" i="4"/>
  <c r="G139" i="4"/>
  <c r="G271" i="4"/>
  <c r="G337" i="4"/>
  <c r="G23" i="4"/>
  <c r="G19" i="4"/>
  <c r="G17" i="4"/>
  <c r="G258" i="4"/>
  <c r="G281" i="4"/>
  <c r="G13" i="4"/>
  <c r="G297" i="4"/>
  <c r="H241" i="4" l="1"/>
  <c r="H240" i="4"/>
  <c r="H224" i="4"/>
  <c r="H234" i="4"/>
  <c r="H220" i="4"/>
  <c r="H237" i="4"/>
  <c r="H236" i="4"/>
  <c r="H218" i="4"/>
  <c r="H226" i="4"/>
  <c r="H228" i="4"/>
  <c r="H223" i="4"/>
  <c r="H230" i="4"/>
  <c r="H227" i="4"/>
  <c r="H239" i="4"/>
  <c r="H221" i="4"/>
  <c r="H235" i="4"/>
  <c r="H219" i="4"/>
  <c r="H229" i="4"/>
  <c r="H225" i="4"/>
  <c r="H231" i="4"/>
  <c r="H238" i="4"/>
  <c r="H222" i="4"/>
  <c r="H232" i="4"/>
  <c r="H233" i="4"/>
  <c r="F210" i="4"/>
  <c r="H210" i="4" l="1"/>
  <c r="F252" i="4"/>
  <c r="H252" i="4" l="1"/>
  <c r="F256" i="4"/>
  <c r="H256" i="4" l="1"/>
  <c r="F251" i="4"/>
  <c r="H251" i="4" l="1"/>
  <c r="F245" i="4"/>
  <c r="H245" i="4" l="1"/>
  <c r="F283" i="4"/>
  <c r="F250" i="4"/>
  <c r="F53" i="4"/>
  <c r="H53" i="4" l="1"/>
  <c r="H283" i="4"/>
  <c r="H250" i="4"/>
  <c r="F249" i="4" l="1"/>
  <c r="F87" i="4"/>
  <c r="F244" i="4"/>
  <c r="F243" i="4"/>
  <c r="F338" i="4"/>
  <c r="F19" i="4"/>
  <c r="H243" i="4" l="1"/>
  <c r="H87" i="4"/>
  <c r="H244" i="4"/>
  <c r="H19" i="4"/>
  <c r="H249" i="4"/>
  <c r="H338" i="4"/>
  <c r="F23" i="4" l="1"/>
  <c r="H23" i="4" l="1"/>
  <c r="F79" i="4"/>
  <c r="H79" i="4" l="1"/>
  <c r="F300" i="4"/>
  <c r="H300" i="4" s="1"/>
  <c r="F290" i="4"/>
  <c r="H290" i="4" l="1"/>
  <c r="F69" i="4"/>
  <c r="F255" i="4"/>
  <c r="F120" i="4" l="1"/>
  <c r="F190" i="4" l="1"/>
  <c r="F178" i="4"/>
  <c r="F160" i="4"/>
  <c r="F149" i="4"/>
  <c r="F147" i="4"/>
  <c r="F145" i="4"/>
  <c r="F144" i="4"/>
  <c r="F133" i="4"/>
  <c r="F127" i="4"/>
  <c r="F123" i="4"/>
  <c r="H120" i="4"/>
  <c r="F111" i="4"/>
  <c r="F94" i="4"/>
  <c r="F306" i="4"/>
  <c r="F93" i="4"/>
  <c r="F89" i="4"/>
  <c r="H255" i="4"/>
  <c r="H69" i="4"/>
  <c r="F67" i="4"/>
  <c r="F258" i="4"/>
  <c r="H178" i="4" l="1"/>
  <c r="H145" i="4"/>
  <c r="H306" i="4"/>
  <c r="H190" i="4"/>
  <c r="H127" i="4"/>
  <c r="H144" i="4"/>
  <c r="H123" i="4"/>
  <c r="H133" i="4"/>
  <c r="H147" i="4"/>
  <c r="H149" i="4"/>
  <c r="H160" i="4"/>
  <c r="H89" i="4"/>
  <c r="H93" i="4"/>
  <c r="H94" i="4"/>
  <c r="H111" i="4"/>
  <c r="H258" i="4"/>
  <c r="H67" i="4"/>
  <c r="B2" i="4"/>
  <c r="N192" i="4" s="1"/>
  <c r="F270" i="4"/>
  <c r="F268" i="4"/>
  <c r="F206" i="4"/>
  <c r="F201" i="4"/>
  <c r="F293" i="4"/>
  <c r="F200" i="4"/>
  <c r="F280" i="4"/>
  <c r="F277" i="4"/>
  <c r="N141" i="4" l="1"/>
  <c r="N188" i="4"/>
  <c r="N204" i="4"/>
  <c r="N167" i="4"/>
  <c r="N153" i="4"/>
  <c r="N194" i="4"/>
  <c r="N140" i="4"/>
  <c r="N184" i="4"/>
  <c r="N131" i="4"/>
  <c r="N102" i="4"/>
  <c r="N80" i="4"/>
  <c r="N9" i="4"/>
  <c r="N168" i="4"/>
  <c r="N108" i="4"/>
  <c r="N99" i="4"/>
  <c r="N20" i="4"/>
  <c r="N58" i="4"/>
  <c r="N118" i="4"/>
  <c r="N169" i="4"/>
  <c r="N174" i="4"/>
  <c r="N165" i="4"/>
  <c r="N85" i="4"/>
  <c r="N143" i="4"/>
  <c r="N161" i="4"/>
  <c r="N193" i="4"/>
  <c r="N72" i="4"/>
  <c r="N21" i="4"/>
  <c r="N86" i="4"/>
  <c r="N32" i="4"/>
  <c r="N163" i="4"/>
  <c r="N57" i="4"/>
  <c r="N175" i="4"/>
  <c r="N208" i="4"/>
  <c r="N198" i="4"/>
  <c r="N122" i="4"/>
  <c r="N183" i="4"/>
  <c r="N64" i="4"/>
  <c r="N83" i="4"/>
  <c r="N10" i="4"/>
  <c r="N195" i="4"/>
  <c r="N181" i="4"/>
  <c r="N151" i="4"/>
  <c r="N157" i="4"/>
  <c r="N121" i="4"/>
  <c r="N107" i="4"/>
  <c r="N36" i="4"/>
  <c r="N42" i="4"/>
  <c r="N110" i="4"/>
  <c r="N43" i="4"/>
  <c r="N199" i="4"/>
  <c r="N205" i="4"/>
  <c r="N55" i="4"/>
  <c r="N77" i="4"/>
  <c r="N142" i="4"/>
  <c r="N162" i="4"/>
  <c r="N126" i="4"/>
  <c r="N12" i="4"/>
  <c r="N138" i="4"/>
  <c r="N170" i="4"/>
  <c r="N132" i="4"/>
  <c r="N172" i="4"/>
  <c r="N30" i="4"/>
  <c r="N176" i="4"/>
  <c r="N207" i="4"/>
  <c r="N112" i="4"/>
  <c r="N109" i="4"/>
  <c r="N203" i="4"/>
  <c r="N27" i="4"/>
  <c r="N104" i="4"/>
  <c r="N16" i="4"/>
  <c r="N202" i="4"/>
  <c r="N52" i="4"/>
  <c r="N136" i="4"/>
  <c r="N137" i="4"/>
  <c r="N185" i="4"/>
  <c r="N155" i="4"/>
  <c r="N66" i="4"/>
  <c r="N33" i="4"/>
  <c r="N146" i="4"/>
  <c r="N187" i="4"/>
  <c r="N100" i="4"/>
  <c r="N124" i="4"/>
  <c r="N179" i="4"/>
  <c r="N49" i="4"/>
  <c r="N154" i="4"/>
  <c r="N26" i="4"/>
  <c r="N61" i="4"/>
  <c r="N98" i="4"/>
  <c r="N31" i="4"/>
  <c r="N134" i="4"/>
  <c r="N130" i="4"/>
  <c r="N68" i="4"/>
  <c r="N82" i="4"/>
  <c r="N22" i="4"/>
  <c r="N159" i="4"/>
  <c r="N78" i="4"/>
  <c r="N24" i="4"/>
  <c r="N129" i="4"/>
  <c r="N59" i="4"/>
  <c r="N166" i="4"/>
  <c r="N156" i="4"/>
  <c r="N40" i="4"/>
  <c r="N60" i="4"/>
  <c r="N28" i="4"/>
  <c r="N18" i="4"/>
  <c r="N15" i="4"/>
  <c r="N90" i="4"/>
  <c r="N39" i="4"/>
  <c r="N37" i="4"/>
  <c r="N25" i="4"/>
  <c r="N148" i="4"/>
  <c r="N75" i="4"/>
  <c r="N41" i="4"/>
  <c r="N209" i="4"/>
  <c r="N210" i="4"/>
  <c r="N196" i="4"/>
  <c r="N186" i="4"/>
  <c r="N164" i="4"/>
  <c r="N152" i="4"/>
  <c r="N125" i="4"/>
  <c r="N101" i="4"/>
  <c r="N76" i="4"/>
  <c r="N95" i="4"/>
  <c r="N53" i="4"/>
  <c r="N35" i="4"/>
  <c r="N149" i="4"/>
  <c r="N87" i="4"/>
  <c r="N19" i="4"/>
  <c r="N23" i="4"/>
  <c r="N79" i="4"/>
  <c r="N127" i="4"/>
  <c r="N147" i="4"/>
  <c r="N120" i="4"/>
  <c r="N190" i="4"/>
  <c r="N160" i="4"/>
  <c r="N145" i="4"/>
  <c r="N144" i="4"/>
  <c r="N123" i="4"/>
  <c r="N133" i="4"/>
  <c r="N111" i="4"/>
  <c r="N93" i="4"/>
  <c r="N94" i="4"/>
  <c r="N89" i="4"/>
  <c r="N67" i="4"/>
  <c r="N69" i="4"/>
  <c r="N29" i="4"/>
  <c r="N34" i="4"/>
  <c r="N45" i="4"/>
  <c r="N48" i="4"/>
  <c r="N51" i="4"/>
  <c r="N56" i="4"/>
  <c r="N63" i="4"/>
  <c r="N73" i="4"/>
  <c r="N84" i="4"/>
  <c r="N119" i="4"/>
  <c r="N105" i="4"/>
  <c r="N113" i="4"/>
  <c r="N117" i="4"/>
  <c r="N150" i="4"/>
  <c r="N158" i="4"/>
  <c r="N171" i="4"/>
  <c r="N177" i="4"/>
  <c r="N197" i="4"/>
  <c r="N206" i="4"/>
  <c r="N13" i="4"/>
  <c r="N17" i="4"/>
  <c r="N139" i="4"/>
  <c r="N44" i="4"/>
  <c r="N46" i="4"/>
  <c r="N47" i="4"/>
  <c r="N62" i="4"/>
  <c r="N74" i="4"/>
  <c r="N92" i="4"/>
  <c r="N96" i="4"/>
  <c r="N103" i="4"/>
  <c r="N106" i="4"/>
  <c r="N114" i="4"/>
  <c r="N115" i="4"/>
  <c r="N54" i="4"/>
  <c r="N173" i="4"/>
  <c r="N180" i="4"/>
  <c r="N182" i="4"/>
  <c r="N191" i="4"/>
  <c r="N200" i="4"/>
  <c r="F197" i="4" l="1"/>
  <c r="F191" i="4"/>
  <c r="F315" i="4"/>
  <c r="F182" i="4"/>
  <c r="F180" i="4"/>
  <c r="F262" i="4"/>
  <c r="F360" i="4"/>
  <c r="F177" i="4"/>
  <c r="F289" i="4"/>
  <c r="F173" i="4"/>
  <c r="F171" i="4"/>
  <c r="F323" i="4"/>
  <c r="F279" i="4"/>
  <c r="F357" i="4"/>
  <c r="F158" i="4"/>
  <c r="F54" i="4"/>
  <c r="F150" i="4"/>
  <c r="F261" i="4"/>
  <c r="F248" i="4"/>
  <c r="F349" i="4"/>
  <c r="F135" i="4"/>
  <c r="F327" i="4"/>
  <c r="F128" i="4"/>
  <c r="F356" i="4"/>
  <c r="F117" i="4"/>
  <c r="F247" i="4"/>
  <c r="F116" i="4"/>
  <c r="F115" i="4"/>
  <c r="F114" i="4"/>
  <c r="F113" i="4"/>
  <c r="F106" i="4"/>
  <c r="F105" i="4"/>
  <c r="F103" i="4"/>
  <c r="F119" i="4"/>
  <c r="F96" i="4"/>
  <c r="F92" i="4"/>
  <c r="F91" i="4"/>
  <c r="F84" i="4"/>
  <c r="F264" i="4"/>
  <c r="F74" i="4"/>
  <c r="F73" i="4"/>
  <c r="F70" i="4"/>
  <c r="F276" i="4"/>
  <c r="F63" i="4"/>
  <c r="F62" i="4"/>
  <c r="F56" i="4"/>
  <c r="F253" i="4"/>
  <c r="F51" i="4"/>
  <c r="F242" i="4"/>
  <c r="F48" i="4"/>
  <c r="F47" i="4"/>
  <c r="F46" i="4"/>
  <c r="F45" i="4"/>
  <c r="F44" i="4"/>
  <c r="F38" i="4"/>
  <c r="F355" i="4"/>
  <c r="F34" i="4"/>
  <c r="F29" i="4"/>
  <c r="F139" i="4"/>
  <c r="F271" i="4"/>
  <c r="F337" i="4"/>
  <c r="F17" i="4"/>
  <c r="F281" i="4"/>
  <c r="F13" i="4"/>
  <c r="F297" i="4"/>
  <c r="H270" i="4"/>
  <c r="H268" i="4"/>
  <c r="H206" i="4"/>
  <c r="H201" i="4"/>
  <c r="H293" i="4"/>
  <c r="H200" i="4"/>
  <c r="H280" i="4"/>
  <c r="H277" i="4"/>
  <c r="H281" i="4" l="1"/>
  <c r="H271" i="4"/>
  <c r="H29" i="4"/>
  <c r="H34" i="4"/>
  <c r="H38" i="4"/>
  <c r="H45" i="4"/>
  <c r="H48" i="4"/>
  <c r="H51" i="4"/>
  <c r="H253" i="4"/>
  <c r="H56" i="4"/>
  <c r="H63" i="4"/>
  <c r="H70" i="4"/>
  <c r="H73" i="4"/>
  <c r="H264" i="4"/>
  <c r="H84" i="4"/>
  <c r="H91" i="4"/>
  <c r="H119" i="4"/>
  <c r="H105" i="4"/>
  <c r="H113" i="4"/>
  <c r="H116" i="4"/>
  <c r="H117" i="4"/>
  <c r="H128" i="4"/>
  <c r="H349" i="4"/>
  <c r="H150" i="4"/>
  <c r="H158" i="4"/>
  <c r="H357" i="4"/>
  <c r="H323" i="4"/>
  <c r="H171" i="4"/>
  <c r="H289" i="4"/>
  <c r="H177" i="4"/>
  <c r="H262" i="4"/>
  <c r="H315" i="4"/>
  <c r="H197" i="4"/>
  <c r="H297" i="4"/>
  <c r="H13" i="4"/>
  <c r="H17" i="4"/>
  <c r="H337" i="4"/>
  <c r="H139" i="4"/>
  <c r="H355" i="4"/>
  <c r="H44" i="4"/>
  <c r="H46" i="4"/>
  <c r="H47" i="4"/>
  <c r="H242" i="4"/>
  <c r="H62" i="4"/>
  <c r="H276" i="4"/>
  <c r="H74" i="4"/>
  <c r="H92" i="4"/>
  <c r="H96" i="4"/>
  <c r="H103" i="4"/>
  <c r="H106" i="4"/>
  <c r="H114" i="4"/>
  <c r="H115" i="4"/>
  <c r="H247" i="4"/>
  <c r="H356" i="4"/>
  <c r="H327" i="4"/>
  <c r="H135" i="4"/>
  <c r="H248" i="4"/>
  <c r="H261" i="4"/>
  <c r="H54" i="4"/>
  <c r="H279" i="4"/>
  <c r="H173" i="4"/>
  <c r="H360" i="4"/>
  <c r="H180" i="4"/>
  <c r="H182" i="4"/>
  <c r="H191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Usuario de Windows</author>
  </authors>
  <commentList>
    <comment ref="K18" authorId="0" shapeId="0" xr:uid="{49844576-3886-4229-80ED-C7CDAC3A2DD7}">
      <text>
        <r>
          <rPr>
            <b/>
            <sz val="9"/>
            <color indexed="81"/>
            <rFont val="Tahoma"/>
            <family val="2"/>
          </rPr>
          <t xml:space="preserve">Cambia por capacitacion a contar del mes de : 
</t>
        </r>
        <r>
          <rPr>
            <b/>
            <i/>
            <sz val="12"/>
            <color indexed="10"/>
            <rFont val="Arial"/>
            <family val="2"/>
          </rPr>
          <t xml:space="preserve">
SEPTIEMBRE 
2025</t>
        </r>
      </text>
    </comment>
    <comment ref="K30" authorId="0" shapeId="0" xr:uid="{33E3F5F3-25A5-4C5E-BD40-CBB7853632B8}">
      <text>
        <r>
          <rPr>
            <b/>
            <sz val="9"/>
            <color indexed="81"/>
            <rFont val="Tahoma"/>
            <family val="2"/>
          </rPr>
          <t xml:space="preserve">Cambia por capacitacion a contar del mes de : 
</t>
        </r>
        <r>
          <rPr>
            <b/>
            <i/>
            <sz val="12"/>
            <color indexed="10"/>
            <rFont val="Arial"/>
            <family val="2"/>
          </rPr>
          <t xml:space="preserve">
SEPTIEMBRE 
2025</t>
        </r>
      </text>
    </comment>
    <comment ref="K45" authorId="0" shapeId="0" xr:uid="{448896CC-4454-4579-A8C8-8BF189A8438A}">
      <text>
        <r>
          <rPr>
            <b/>
            <sz val="9"/>
            <color indexed="81"/>
            <rFont val="Tahoma"/>
            <family val="2"/>
          </rPr>
          <t xml:space="preserve">Cambia por capacitacion a contar del mes de : 
</t>
        </r>
        <r>
          <rPr>
            <b/>
            <i/>
            <sz val="12"/>
            <color indexed="10"/>
            <rFont val="Arial"/>
            <family val="2"/>
          </rPr>
          <t xml:space="preserve">
SEPTIEMBRE 
2025</t>
        </r>
      </text>
    </comment>
    <comment ref="K51" authorId="0" shapeId="0" xr:uid="{48803894-C4E9-432D-B5CC-0B667AF83A6D}">
      <text>
        <r>
          <rPr>
            <b/>
            <sz val="9"/>
            <color indexed="81"/>
            <rFont val="Tahoma"/>
            <family val="2"/>
          </rPr>
          <t xml:space="preserve">Cambia por capacitacion a contar del mes de : 
</t>
        </r>
        <r>
          <rPr>
            <b/>
            <i/>
            <sz val="12"/>
            <color indexed="10"/>
            <rFont val="Arial"/>
            <family val="2"/>
          </rPr>
          <t xml:space="preserve">
SEPTIEMBRE 
2025</t>
        </r>
      </text>
    </comment>
    <comment ref="J58" authorId="0" shapeId="0" xr:uid="{3660CCD6-C2D1-4042-84B0-0A575B3C703C}">
      <text>
        <r>
          <rPr>
            <b/>
            <sz val="9"/>
            <color indexed="81"/>
            <rFont val="Tahoma"/>
            <family val="2"/>
          </rPr>
          <t>Usuario de Windows: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11"/>
            <color indexed="10"/>
            <rFont val="Tahoma"/>
            <family val="2"/>
          </rPr>
          <t>Trae nivel 13 desde la comuna de Quilpué.</t>
        </r>
      </text>
    </comment>
    <comment ref="K59" authorId="0" shapeId="0" xr:uid="{73E11837-D2F6-4F9F-87F9-D6325E195184}">
      <text>
        <r>
          <rPr>
            <b/>
            <sz val="9"/>
            <color indexed="81"/>
            <rFont val="Tahoma"/>
            <family val="2"/>
          </rPr>
          <t xml:space="preserve">Cambia por capacitacion a contar del mes de : 
</t>
        </r>
        <r>
          <rPr>
            <b/>
            <i/>
            <sz val="12"/>
            <color indexed="10"/>
            <rFont val="Arial"/>
            <family val="2"/>
          </rPr>
          <t xml:space="preserve">
SEPTIEMBRE 
2025</t>
        </r>
      </text>
    </comment>
    <comment ref="K63" authorId="0" shapeId="0" xr:uid="{A5AEEBE0-4A79-4A9D-ABC3-A5CF5ACAD490}">
      <text>
        <r>
          <rPr>
            <b/>
            <sz val="9"/>
            <color indexed="81"/>
            <rFont val="Tahoma"/>
            <family val="2"/>
          </rPr>
          <t xml:space="preserve">Cambia por capacitacion a contar del mes de : 
</t>
        </r>
        <r>
          <rPr>
            <b/>
            <i/>
            <sz val="12"/>
            <color indexed="10"/>
            <rFont val="Arial"/>
            <family val="2"/>
          </rPr>
          <t xml:space="preserve">
SEPTIEMBRE 
2025</t>
        </r>
      </text>
    </comment>
    <comment ref="K82" authorId="0" shapeId="0" xr:uid="{0C7415DD-E9CF-4A9F-9030-3A57C609458D}">
      <text>
        <r>
          <rPr>
            <b/>
            <sz val="9"/>
            <color indexed="81"/>
            <rFont val="Tahoma"/>
            <family val="2"/>
          </rPr>
          <t xml:space="preserve">Cambia por capacitacion a contar del mes de : 
</t>
        </r>
        <r>
          <rPr>
            <b/>
            <i/>
            <sz val="12"/>
            <color indexed="10"/>
            <rFont val="Arial"/>
            <family val="2"/>
          </rPr>
          <t xml:space="preserve">
AGOSTO 
2025</t>
        </r>
      </text>
    </comment>
    <comment ref="K89" authorId="0" shapeId="0" xr:uid="{28E4356D-667B-4AC5-A7B9-4DC549ED7E2E}">
      <text>
        <r>
          <rPr>
            <b/>
            <sz val="9"/>
            <color indexed="81"/>
            <rFont val="Tahoma"/>
            <family val="2"/>
          </rPr>
          <t xml:space="preserve">Cambia por capacitacion a contar del mes de : 
</t>
        </r>
        <r>
          <rPr>
            <b/>
            <i/>
            <sz val="12"/>
            <color indexed="10"/>
            <rFont val="Arial"/>
            <family val="2"/>
          </rPr>
          <t xml:space="preserve">
SEPTIEMBRE 
2025</t>
        </r>
      </text>
    </comment>
    <comment ref="K92" authorId="0" shapeId="0" xr:uid="{0294CE58-860F-4B21-8A01-9435FFBC7FBF}">
      <text>
        <r>
          <rPr>
            <b/>
            <sz val="9"/>
            <color indexed="81"/>
            <rFont val="Tahoma"/>
            <family val="2"/>
          </rPr>
          <t xml:space="preserve">Cambia por capacitacion a contar del mes de : 
</t>
        </r>
        <r>
          <rPr>
            <b/>
            <i/>
            <sz val="12"/>
            <color indexed="10"/>
            <rFont val="Arial"/>
            <family val="2"/>
          </rPr>
          <t xml:space="preserve">
SEPTIEMBRE 
2025</t>
        </r>
      </text>
    </comment>
    <comment ref="K94" authorId="0" shapeId="0" xr:uid="{04EA14F5-2DA6-4797-B875-A36AD64F894B}">
      <text>
        <r>
          <rPr>
            <b/>
            <sz val="9"/>
            <color indexed="81"/>
            <rFont val="Tahoma"/>
            <family val="2"/>
          </rPr>
          <t xml:space="preserve">Cambia por capacitacion a contar del mes de : 
</t>
        </r>
        <r>
          <rPr>
            <b/>
            <i/>
            <sz val="12"/>
            <color indexed="10"/>
            <rFont val="Arial"/>
            <family val="2"/>
          </rPr>
          <t xml:space="preserve">
SEPTIEMBRE 
2025</t>
        </r>
      </text>
    </comment>
    <comment ref="K109" authorId="0" shapeId="0" xr:uid="{288EB62F-53E4-4F43-9B62-A08D2960028D}">
      <text>
        <r>
          <rPr>
            <b/>
            <sz val="9"/>
            <color indexed="81"/>
            <rFont val="Tahoma"/>
            <family val="2"/>
          </rPr>
          <t xml:space="preserve">Cambia por capacitacion a contar del mes de : 
</t>
        </r>
        <r>
          <rPr>
            <b/>
            <i/>
            <sz val="12"/>
            <color indexed="10"/>
            <rFont val="Arial"/>
            <family val="2"/>
          </rPr>
          <t xml:space="preserve">
SEPTIEMBRE 
2025</t>
        </r>
      </text>
    </comment>
    <comment ref="K114" authorId="0" shapeId="0" xr:uid="{523B2E82-0575-453B-887D-54C8C7D70B65}">
      <text>
        <r>
          <rPr>
            <b/>
            <sz val="9"/>
            <color indexed="81"/>
            <rFont val="Tahoma"/>
            <family val="2"/>
          </rPr>
          <t xml:space="preserve">Cambia por capacitacion a contar del mes de : 
</t>
        </r>
        <r>
          <rPr>
            <b/>
            <i/>
            <sz val="12"/>
            <color indexed="10"/>
            <rFont val="Arial"/>
            <family val="2"/>
          </rPr>
          <t xml:space="preserve">
SEPTIEMBRE 
2025</t>
        </r>
      </text>
    </comment>
    <comment ref="K115" authorId="0" shapeId="0" xr:uid="{E8F723EF-AEE9-444F-88E4-97447068D04C}">
      <text>
        <r>
          <rPr>
            <b/>
            <sz val="9"/>
            <color indexed="81"/>
            <rFont val="Tahoma"/>
            <family val="2"/>
          </rPr>
          <t xml:space="preserve">Cambia por capacitacion a contar del mes de : 
</t>
        </r>
        <r>
          <rPr>
            <b/>
            <i/>
            <sz val="12"/>
            <color indexed="10"/>
            <rFont val="Arial"/>
            <family val="2"/>
          </rPr>
          <t xml:space="preserve">
SEPTIEMBRE 
2025</t>
        </r>
      </text>
    </comment>
    <comment ref="K124" authorId="0" shapeId="0" xr:uid="{35228911-18D3-4FC5-96EA-79E660D657B9}">
      <text>
        <r>
          <rPr>
            <b/>
            <sz val="9"/>
            <color indexed="81"/>
            <rFont val="Tahoma"/>
            <family val="2"/>
          </rPr>
          <t xml:space="preserve">Cambia por capacitacion a contar del mes de : 
</t>
        </r>
        <r>
          <rPr>
            <b/>
            <i/>
            <sz val="12"/>
            <color indexed="10"/>
            <rFont val="Arial"/>
            <family val="2"/>
          </rPr>
          <t xml:space="preserve">
SEPTIEMBRE 
2025</t>
        </r>
      </text>
    </comment>
    <comment ref="K125" authorId="0" shapeId="0" xr:uid="{3799B053-87CE-4FCD-8A63-283667C4EC94}">
      <text>
        <r>
          <rPr>
            <b/>
            <sz val="9"/>
            <color indexed="81"/>
            <rFont val="Tahoma"/>
            <family val="2"/>
          </rPr>
          <t xml:space="preserve">Cambia por capacitacion a contar del mes de : 
</t>
        </r>
        <r>
          <rPr>
            <b/>
            <i/>
            <sz val="12"/>
            <color indexed="10"/>
            <rFont val="Arial"/>
            <family val="2"/>
          </rPr>
          <t xml:space="preserve">
SEPTIEMBRE 
2025</t>
        </r>
      </text>
    </comment>
    <comment ref="K142" authorId="0" shapeId="0" xr:uid="{47402F44-A887-4250-9932-A3C3C295AF5A}">
      <text>
        <r>
          <rPr>
            <b/>
            <sz val="9"/>
            <color indexed="81"/>
            <rFont val="Tahoma"/>
            <family val="2"/>
          </rPr>
          <t xml:space="preserve">Cambia por capacitacion a contar del mes de : 
</t>
        </r>
        <r>
          <rPr>
            <b/>
            <i/>
            <sz val="12"/>
            <color indexed="10"/>
            <rFont val="Arial"/>
            <family val="2"/>
          </rPr>
          <t xml:space="preserve">
SEPTIEMBRE 
2025</t>
        </r>
      </text>
    </comment>
    <comment ref="K158" authorId="0" shapeId="0" xr:uid="{FF8281D3-06B3-495B-8C11-B875270C0496}">
      <text>
        <r>
          <rPr>
            <b/>
            <sz val="9"/>
            <color indexed="81"/>
            <rFont val="Tahoma"/>
            <family val="2"/>
          </rPr>
          <t xml:space="preserve">Cambia por capacitacion a contar del mes de : 
</t>
        </r>
        <r>
          <rPr>
            <b/>
            <i/>
            <sz val="12"/>
            <color indexed="10"/>
            <rFont val="Arial"/>
            <family val="2"/>
          </rPr>
          <t xml:space="preserve">
SEPTIEMBRE 
2025</t>
        </r>
      </text>
    </comment>
    <comment ref="J193" authorId="0" shapeId="0" xr:uid="{F9D80CF7-5F29-4D79-828E-AB8F70593DCD}">
      <text>
        <r>
          <rPr>
            <b/>
            <sz val="9"/>
            <color indexed="81"/>
            <rFont val="Tahoma"/>
            <family val="2"/>
          </rPr>
          <t>Usuario de Windows: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10"/>
            <color indexed="10"/>
            <rFont val="Arial Black"/>
            <family val="2"/>
          </rPr>
          <t xml:space="preserve">
TRAE NIVEL 14 DESDE DEPARTAMENTO DE SALUD DE CERRO NAVIA</t>
        </r>
      </text>
    </comment>
    <comment ref="K207" authorId="0" shapeId="0" xr:uid="{9B773845-F856-447B-A8C0-095956129FBE}">
      <text>
        <r>
          <rPr>
            <b/>
            <sz val="9"/>
            <color indexed="81"/>
            <rFont val="Tahoma"/>
            <family val="2"/>
          </rPr>
          <t xml:space="preserve">Cambia por capacitacion a contar del mes de : 
</t>
        </r>
        <r>
          <rPr>
            <b/>
            <i/>
            <sz val="12"/>
            <color indexed="10"/>
            <rFont val="Arial"/>
            <family val="2"/>
          </rPr>
          <t xml:space="preserve">
SEPTIEMBRE 
2025</t>
        </r>
      </text>
    </comment>
    <comment ref="K209" authorId="0" shapeId="0" xr:uid="{C9529A5A-C160-44F6-B97A-EA541E63A4A3}">
      <text>
        <r>
          <rPr>
            <b/>
            <sz val="9"/>
            <color indexed="81"/>
            <rFont val="Tahoma"/>
            <family val="2"/>
          </rPr>
          <t xml:space="preserve">Cambia por capacitacion a contar del mes de : 
</t>
        </r>
        <r>
          <rPr>
            <b/>
            <i/>
            <sz val="12"/>
            <color indexed="10"/>
            <rFont val="Arial"/>
            <family val="2"/>
          </rPr>
          <t xml:space="preserve">
SEPTIEMBRE 
2025</t>
        </r>
      </text>
    </comment>
    <comment ref="K216" authorId="0" shapeId="0" xr:uid="{B0F719D9-2AD2-4ACE-9DAC-69524900C804}">
      <text>
        <r>
          <rPr>
            <b/>
            <sz val="9"/>
            <color indexed="81"/>
            <rFont val="Tahoma"/>
            <family val="2"/>
          </rPr>
          <t xml:space="preserve">Cambia por capacitacion a contar del mes de : 
</t>
        </r>
        <r>
          <rPr>
            <b/>
            <i/>
            <sz val="12"/>
            <color indexed="10"/>
            <rFont val="Arial"/>
            <family val="2"/>
          </rPr>
          <t xml:space="preserve">
SEPTIEMBRE 
2025</t>
        </r>
      </text>
    </comment>
  </commentList>
</comments>
</file>

<file path=xl/sharedStrings.xml><?xml version="1.0" encoding="utf-8"?>
<sst xmlns="http://schemas.openxmlformats.org/spreadsheetml/2006/main" count="1635" uniqueCount="524">
  <si>
    <t>BIENIOS RECONOCIDOS</t>
  </si>
  <si>
    <t>PUNTAJE POR BIENIO</t>
  </si>
  <si>
    <t>FUNCIONARIO</t>
  </si>
  <si>
    <t>TOTAL</t>
  </si>
  <si>
    <t>FECHA REC.</t>
  </si>
  <si>
    <t xml:space="preserve">PUNTAJE </t>
  </si>
  <si>
    <t>CAPACITACION</t>
  </si>
  <si>
    <t>NIVEL DE LA CARRERA</t>
  </si>
  <si>
    <t>01.01.13</t>
  </si>
  <si>
    <t>05.11.07</t>
  </si>
  <si>
    <t>01.01.09</t>
  </si>
  <si>
    <t>01.01.10</t>
  </si>
  <si>
    <t>01.04.89</t>
  </si>
  <si>
    <t>01.01.2015</t>
  </si>
  <si>
    <t>01.03.88</t>
  </si>
  <si>
    <t>01.01.2014</t>
  </si>
  <si>
    <t>01.02.2014</t>
  </si>
  <si>
    <t>INGRESO</t>
  </si>
  <si>
    <t>CAT.</t>
  </si>
  <si>
    <t>F</t>
  </si>
  <si>
    <t>B</t>
  </si>
  <si>
    <t>A</t>
  </si>
  <si>
    <t xml:space="preserve">C </t>
  </si>
  <si>
    <t>C</t>
  </si>
  <si>
    <t>D</t>
  </si>
  <si>
    <t>30 años</t>
  </si>
  <si>
    <t>01.08.2014</t>
  </si>
  <si>
    <t>FEC. PROX.RECONOC.</t>
  </si>
  <si>
    <t>SANTA ANSELMA</t>
  </si>
  <si>
    <t>AVENDAÑO LOBOS MARCIA E.</t>
  </si>
  <si>
    <t>AMIGO RIVERO JAZMIN</t>
  </si>
  <si>
    <t>ARAVENA TRINCADO INES</t>
  </si>
  <si>
    <t>ARENAS GUZMAN JANINA</t>
  </si>
  <si>
    <t>AREVALO CARVAJAL MARGARITA</t>
  </si>
  <si>
    <t>BAEZ MERCADO LUCIA</t>
  </si>
  <si>
    <t>BASCHMANN OPAZO DANIELA</t>
  </si>
  <si>
    <t>BARRA SALAS ANA MARIA</t>
  </si>
  <si>
    <t>BURGOS DIAZ FANNY</t>
  </si>
  <si>
    <t>CAMACHO TOVAR CYNTHIA</t>
  </si>
  <si>
    <t>CAMPOS CONCHA JUAN</t>
  </si>
  <si>
    <t>CASTRO AGUAYO CAMILA</t>
  </si>
  <si>
    <t>CASTRO MOYA VIVIANA</t>
  </si>
  <si>
    <t>CASTILLO CACERES IVONNE</t>
  </si>
  <si>
    <t>CASTILLO ZAMORANO KARINA</t>
  </si>
  <si>
    <t>CASTRO PEREZ MARIA</t>
  </si>
  <si>
    <t>CEA CEA SANDRA DEL CARMEN</t>
  </si>
  <si>
    <t>COCCA URZUA JOSEFINA</t>
  </si>
  <si>
    <t>CORNEJO DEVIA MARCELA</t>
  </si>
  <si>
    <t>CHAVEZ LUEIZA ROSSANA</t>
  </si>
  <si>
    <t>DAY CACERES ANDREA</t>
  </si>
  <si>
    <t xml:space="preserve">ESPINOSA BAHAMONDES CARMEN </t>
  </si>
  <si>
    <t>ESPINOSA MUJICA ANA MARIA</t>
  </si>
  <si>
    <t>FERNANDEZ RIQUELME JULIO</t>
  </si>
  <si>
    <t>FERNANDEZ VARGAS CLAUDIA</t>
  </si>
  <si>
    <t>FIGUEROA TORREBLANCA MYRIAM</t>
  </si>
  <si>
    <t>FLORES INOSTROZA LORENA</t>
  </si>
  <si>
    <t>GARIN DUQUE BARBARA</t>
  </si>
  <si>
    <t>GODOY BARRERA CAROLINA</t>
  </si>
  <si>
    <t>GODOI PALMA DAYANA</t>
  </si>
  <si>
    <t>GUTIERREZ GONZALEZ PATRICIO</t>
  </si>
  <si>
    <t>GUZMAN SMITH ANA PATRICIA</t>
  </si>
  <si>
    <t>HENRIQUEZ RODRIGUEZ ANDREA</t>
  </si>
  <si>
    <t>HERNANDEZ LOPEZ VERONICA</t>
  </si>
  <si>
    <t>HUERTA ANGULO FRANCISCO</t>
  </si>
  <si>
    <t>LARTIGA ALFARO ALEJANDRA</t>
  </si>
  <si>
    <t>LEIVA MARTINEZ ANGELA</t>
  </si>
  <si>
    <t xml:space="preserve">LOPEZ CORREA CARLOS </t>
  </si>
  <si>
    <t>MARTINEZ CORDOVA CONSTANZA</t>
  </si>
  <si>
    <t>MARTINEZ ESCOBAR VINKA</t>
  </si>
  <si>
    <t>MARTINEZ SILVA SUSANA</t>
  </si>
  <si>
    <t>MARTINEZ SILVA ROSA</t>
  </si>
  <si>
    <t>MATTHIES MIRANDA JENNY</t>
  </si>
  <si>
    <t>MAULME ACEITON GHISLAINE</t>
  </si>
  <si>
    <t>MENDOZA FAUNDEZ MONICA</t>
  </si>
  <si>
    <t>MORALES GARCIA MARIA</t>
  </si>
  <si>
    <t>MOREIRA HERRERA PATRICIA</t>
  </si>
  <si>
    <t>MOSCOSO VILLALVA JORGE</t>
  </si>
  <si>
    <t>MUÑOZ STOCKLE MARCELA</t>
  </si>
  <si>
    <t>OPAZO MORALES MARIA CRISTINA</t>
  </si>
  <si>
    <t>OLEA GARAY OSVALDO</t>
  </si>
  <si>
    <t>ORDOÑEZ CALDERON MARIA</t>
  </si>
  <si>
    <t>OYARZUN ARREDONDO JOSE</t>
  </si>
  <si>
    <t>PARKES NUÑEZ TREYCY</t>
  </si>
  <si>
    <t>PEREZ DONOSO KAREN</t>
  </si>
  <si>
    <t>RAMIREZ CORTE-MONROY LAURA</t>
  </si>
  <si>
    <t>RETAMALES DELGADO MARCELA</t>
  </si>
  <si>
    <t>RIVADENEIRA CASTILLO SILVIA</t>
  </si>
  <si>
    <t>ROJAS SEPULVEDA MARIA A.</t>
  </si>
  <si>
    <t>RODRIGUEZ GUZMAN IVAN</t>
  </si>
  <si>
    <t>SAAVEDRA LILLO GUIDO</t>
  </si>
  <si>
    <t>SALAS MERCADO JACQUELINE</t>
  </si>
  <si>
    <t>SALAZAR STRAUBE CARLOS</t>
  </si>
  <si>
    <t>SANCHEZ GONZALEZ SOLANGE</t>
  </si>
  <si>
    <t>SANDOVAL FIGUEROA FLORENCIA</t>
  </si>
  <si>
    <t>SANCHEZ VELAQUEZ MARIA</t>
  </si>
  <si>
    <t>SANTANDER BALBONTIN KARHINA</t>
  </si>
  <si>
    <t>SANZ MESTANZA ALEXANDRA</t>
  </si>
  <si>
    <t>SCHULZ HUENCHUGUALA RITA</t>
  </si>
  <si>
    <t>SCHWARZE QUIROZ MAURICIO</t>
  </si>
  <si>
    <t>TRAMON REYES LETICIA</t>
  </si>
  <si>
    <t>TRIGO TRONCOSO SANDRA</t>
  </si>
  <si>
    <t>VALDIVIA PUÑO MARICEL</t>
  </si>
  <si>
    <t>VALENZUELA SANDOVAL ROSA</t>
  </si>
  <si>
    <t>VALENZUELA SOTO AVELINA</t>
  </si>
  <si>
    <t>VASQUEZ LOBOS ISABEL</t>
  </si>
  <si>
    <t>VERDUGO CASTILLO MYRIAM</t>
  </si>
  <si>
    <t>VELEZ MERA FANNY</t>
  </si>
  <si>
    <t>VERGARA MUÑOZ EDUARDO</t>
  </si>
  <si>
    <t>VILCHEZ TABILO MONICA</t>
  </si>
  <si>
    <t>VIOLDO MUÑOZ CARMEN</t>
  </si>
  <si>
    <t>YAÑEZ CASTRO MARCELA</t>
  </si>
  <si>
    <t>01.01.88</t>
  </si>
  <si>
    <t>17.07.12</t>
  </si>
  <si>
    <t>01.11.03</t>
  </si>
  <si>
    <t>01.08.2007</t>
  </si>
  <si>
    <t>01.03.00</t>
  </si>
  <si>
    <t>10.06.2013</t>
  </si>
  <si>
    <t>11.01.10</t>
  </si>
  <si>
    <t>18.06.12</t>
  </si>
  <si>
    <t>10.06.2014</t>
  </si>
  <si>
    <t>01.02.10</t>
  </si>
  <si>
    <t>24.11.2014</t>
  </si>
  <si>
    <t>01.09.98</t>
  </si>
  <si>
    <t>23.09.92</t>
  </si>
  <si>
    <t>07.03.2011</t>
  </si>
  <si>
    <t>01.07.04</t>
  </si>
  <si>
    <t>05.01.05</t>
  </si>
  <si>
    <t>05.08.2013</t>
  </si>
  <si>
    <t>20.01.2015</t>
  </si>
  <si>
    <t>23.03.11</t>
  </si>
  <si>
    <t>26.04.00</t>
  </si>
  <si>
    <t>08.06.99</t>
  </si>
  <si>
    <t>01.04.2013</t>
  </si>
  <si>
    <t>11.10.12</t>
  </si>
  <si>
    <t>01.04.2016</t>
  </si>
  <si>
    <t>01.01.2008</t>
  </si>
  <si>
    <t>07.12.91</t>
  </si>
  <si>
    <t>01.04.05</t>
  </si>
  <si>
    <t>09.05.07</t>
  </si>
  <si>
    <t>08.08.2012</t>
  </si>
  <si>
    <t>01.11.2015</t>
  </si>
  <si>
    <t>09.04.2012</t>
  </si>
  <si>
    <t>01.04.2010</t>
  </si>
  <si>
    <t>10.04.2013</t>
  </si>
  <si>
    <t>12.05.2014</t>
  </si>
  <si>
    <t>10.10.88</t>
  </si>
  <si>
    <t>20.03.07</t>
  </si>
  <si>
    <t>04.04.2013</t>
  </si>
  <si>
    <t>01.07.89</t>
  </si>
  <si>
    <t>08.06.09</t>
  </si>
  <si>
    <t>11.05.98</t>
  </si>
  <si>
    <t>01.01.11</t>
  </si>
  <si>
    <t>01.01.1988</t>
  </si>
  <si>
    <t>25.05.1988</t>
  </si>
  <si>
    <t>26.03.2011</t>
  </si>
  <si>
    <t>01.04.2014</t>
  </si>
  <si>
    <t>01.09.2010</t>
  </si>
  <si>
    <t>01.02.07</t>
  </si>
  <si>
    <t>11.05.2009</t>
  </si>
  <si>
    <t>11.05.09</t>
  </si>
  <si>
    <t>01.09.2005</t>
  </si>
  <si>
    <t>01.10.2006</t>
  </si>
  <si>
    <t>01.10.2012</t>
  </si>
  <si>
    <t>11.06.12</t>
  </si>
  <si>
    <t>16.06.2014</t>
  </si>
  <si>
    <t>04.01.13</t>
  </si>
  <si>
    <t>13.02.07</t>
  </si>
  <si>
    <t>01.10.11</t>
  </si>
  <si>
    <t>01.08.98</t>
  </si>
  <si>
    <t>01.06.88</t>
  </si>
  <si>
    <t>12.05.08</t>
  </si>
  <si>
    <t>E</t>
  </si>
  <si>
    <t>CASTRO SANHUEZA CAROLINA</t>
  </si>
  <si>
    <t>ARCOS ELGUETA VALENTINA</t>
  </si>
  <si>
    <t>CARRASCO VEGA DANIELA</t>
  </si>
  <si>
    <t>ESTRADA BARTSCH CRISTIAN</t>
  </si>
  <si>
    <t>FERNANDEZ BERMUDES ERIC</t>
  </si>
  <si>
    <t>FERNANDEZ MOYA DANIELA</t>
  </si>
  <si>
    <t>GUTIERREZ ELGUETA VICTOR</t>
  </si>
  <si>
    <t>HERNANDEZ CABALLERO AMNERIS</t>
  </si>
  <si>
    <t>HERANNDEZ RODRIGUEZ PATRICIA</t>
  </si>
  <si>
    <t>HERNANDEZ SAAVEDRA CAMILA</t>
  </si>
  <si>
    <t>MARDONES RODRIGUEZ ROSA</t>
  </si>
  <si>
    <t>MENDEZ PHILIMON PRISCILA</t>
  </si>
  <si>
    <t>MIRANDA ESPINA KARLA</t>
  </si>
  <si>
    <t>MORALES FUENTES ANGELICA</t>
  </si>
  <si>
    <t>MUÑOZ OBREQUE ELIAN</t>
  </si>
  <si>
    <t>OYARZUN REYES LUIS SEBASTIAN</t>
  </si>
  <si>
    <t>PAEZ DUARTE MILENA</t>
  </si>
  <si>
    <t>PALACIOS MARTINEZ ROMINA</t>
  </si>
  <si>
    <t>PARADA CIFUENTES ROSA E.</t>
  </si>
  <si>
    <t>PEREIRA NAVARRO ALEJANDRA</t>
  </si>
  <si>
    <t>PEREZ ARENAS ALEJANDRA</t>
  </si>
  <si>
    <t>QUINTANA DIAZ VERONICA</t>
  </si>
  <si>
    <t>ROJAS REBOLLEDO IVAN MATIAS</t>
  </si>
  <si>
    <t>SAAVEDRA BRUNOD SEBASTIAN</t>
  </si>
  <si>
    <t>SANCHEZ TOLEDO ELENA</t>
  </si>
  <si>
    <t>22.06.89</t>
  </si>
  <si>
    <t>SEPULVEDA SILVA DANITZA</t>
  </si>
  <si>
    <t>TAPIA VIVANCO DANIELLA</t>
  </si>
  <si>
    <t>TORNERO GOMEZ ROMINA</t>
  </si>
  <si>
    <t>VENEGAS AGUILERA JOSE LUIS</t>
  </si>
  <si>
    <t>ZAMORANO ZAMORANO LADY</t>
  </si>
  <si>
    <t>HERNANDEZ RODRIGUEZ PATRICIA</t>
  </si>
  <si>
    <t>PUNTAJE X BIENIOS</t>
  </si>
  <si>
    <t>PUNTAJE CAPACITACION REC.</t>
  </si>
  <si>
    <t>ELGUETA MEDEL EDSON ALEJANDRO</t>
  </si>
  <si>
    <t xml:space="preserve">   </t>
  </si>
  <si>
    <t>GALLO URZUA GABRIELA</t>
  </si>
  <si>
    <t>VILLANUEVA GONZALEZ FIORELLA</t>
  </si>
  <si>
    <t>BADILLA MUÑOZ CAROLA ISABEL</t>
  </si>
  <si>
    <t>ROJAS SILVA TANIA ANDREA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</si>
  <si>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</si>
  <si>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SEPT.2015-AGOSTO2016</t>
  </si>
  <si>
    <t>ARTIGAS ALBORNOZ JULIO</t>
  </si>
  <si>
    <t>CARRASCO FALCON LUIS FERNANDO</t>
  </si>
  <si>
    <t>DERPICH ECHAGUE NATALIA</t>
  </si>
  <si>
    <t>FLORES ACEITUNO MARIA JOSE</t>
  </si>
  <si>
    <t>GONZALEZ VASQUEZ VALERIA</t>
  </si>
  <si>
    <t>REYES GUZMAN ANDREA</t>
  </si>
  <si>
    <t>SALINAS URBINA DIEGO ANDRES</t>
  </si>
  <si>
    <t>SALAINAS URBINA DIEGO ANDRES</t>
  </si>
  <si>
    <t xml:space="preserve">          </t>
  </si>
  <si>
    <t>SEPT.2016-AGOSTO 2017</t>
  </si>
  <si>
    <t>CIFUENTES ESPINOZA GENARO</t>
  </si>
  <si>
    <t>ROJAS IBACACHE BELEN</t>
  </si>
  <si>
    <t>SANTOS TERAN NATALIA</t>
  </si>
  <si>
    <t xml:space="preserve"> </t>
  </si>
  <si>
    <t>FLORES COYA FERNANDA JAVIERA</t>
  </si>
  <si>
    <t>SALAS BARRERA GASTON ANDRES</t>
  </si>
  <si>
    <t>REINBERG GUAJARDO ALEXANDRA</t>
  </si>
  <si>
    <t>GONZALEZ BORRERO DOLYMARIS</t>
  </si>
  <si>
    <t>REYES GUZMAN ANDREA DE LOS A.</t>
  </si>
  <si>
    <t>MAYEA RONQUILLO MIRELLA YESENIA</t>
  </si>
  <si>
    <t>2014-2015 Y REC.ANT.</t>
  </si>
  <si>
    <t>BAJAS SANTA ANSELMA</t>
  </si>
  <si>
    <t>SEPT.2017-AGOSTO 2018</t>
  </si>
  <si>
    <t>AVENDAÑO MUÑOZ FERNANDO</t>
  </si>
  <si>
    <t>ARANDA ORELLANA SANTIAGO</t>
  </si>
  <si>
    <t>BUSTAMANTE CELEDON YANIRA</t>
  </si>
  <si>
    <t>GALLARDO ARAYA JOSELYN</t>
  </si>
  <si>
    <t>HERNANDEZ TORRES DANIELA</t>
  </si>
  <si>
    <t>IQBAL MUHAMMAD</t>
  </si>
  <si>
    <t>LAFOY MORAGA NADIA</t>
  </si>
  <si>
    <t>MARTINEZ PACHECO SEBASTIAN</t>
  </si>
  <si>
    <t>MAUREIRA DEL CANTO VERONICA</t>
  </si>
  <si>
    <t>MEZA ALBORNOZ MARCELO</t>
  </si>
  <si>
    <t>MORA CABRERA KARINA A.</t>
  </si>
  <si>
    <t>PARDO JELDES CAMILA</t>
  </si>
  <si>
    <t>PEREZ URETA VALERIA</t>
  </si>
  <si>
    <t>RIOS VEGA PAULINA</t>
  </si>
  <si>
    <t>ROJAS NAVARRETE CYNTHIA</t>
  </si>
  <si>
    <t>SOTO REYES JOHANNA</t>
  </si>
  <si>
    <t>URBINA RODRIGUEZ BELGICA ANDREA</t>
  </si>
  <si>
    <t>WEBER PAREDES GLORIA</t>
  </si>
  <si>
    <t>CARRASCO LEIVA CAROLINA ANDREA</t>
  </si>
  <si>
    <t>MANCILLA PEREZ ROSA ANA</t>
  </si>
  <si>
    <t>PARVEX OLMOS GERALDINE</t>
  </si>
  <si>
    <t>FUENTES SOTO MARIANA</t>
  </si>
  <si>
    <t>BASTIAS GUZMAN ANSELMO</t>
  </si>
  <si>
    <t>COLLAO HOCH MONICA</t>
  </si>
  <si>
    <t>CABEZA VERDUGO FRANCY</t>
  </si>
  <si>
    <t>TAPIA ABARCA EUGENIA</t>
  </si>
  <si>
    <t>CANO MARQUEZ EMELY</t>
  </si>
  <si>
    <t>MENA GUERRERO IVETTE ALEXANDRA</t>
  </si>
  <si>
    <t>ROMERO PEÑA YURI MARGARITA</t>
  </si>
  <si>
    <t>GUTIERREZ FERNANDEZ LORENA DEL CARMEN</t>
  </si>
  <si>
    <t>OYARCE RETAMALES ANDREA ELIZABETH</t>
  </si>
  <si>
    <t>ARANGUIZ NEIRA JOSSELIN INES</t>
  </si>
  <si>
    <t>SEPT.2018-AGOSTO 2019</t>
  </si>
  <si>
    <t>EXEDENTE</t>
  </si>
  <si>
    <t>RECONOCIDA</t>
  </si>
  <si>
    <t>LUDEWIG GIMENEZ BERENICE</t>
  </si>
  <si>
    <t>WENSA BADET DJILY</t>
  </si>
  <si>
    <t>HUERTA ANGULO FRANCISCO A.</t>
  </si>
  <si>
    <t>CARACHE GOMEZ MILARCA LILI</t>
  </si>
  <si>
    <t>BARAHONA  BARRA RENATA CECILIA</t>
  </si>
  <si>
    <t>HUENULLAN GUZMAN MARCELA</t>
  </si>
  <si>
    <t>01.04.92</t>
  </si>
  <si>
    <t>ARIAS ELGUETA MILESKA</t>
  </si>
  <si>
    <t>RECONOCIDO</t>
  </si>
  <si>
    <t>BADET DJILY WENSA</t>
  </si>
  <si>
    <t>CARDOZA CARDOZA MARIA JOSE</t>
  </si>
  <si>
    <t>DIAZ HUENCHUAL PATRICIA ALEJANDRA</t>
  </si>
  <si>
    <t>DONAIRE ESQUEDA ROGER</t>
  </si>
  <si>
    <t>HIDALGO FOWERAKER MARIA JESUS</t>
  </si>
  <si>
    <t>OSSA VASQUEZ GUSTAVO ADOLFO</t>
  </si>
  <si>
    <t>PONCE RODRIGUEZ JOHANA GERALDY</t>
  </si>
  <si>
    <t>QUEZADA CID LUNA VALENTINA</t>
  </si>
  <si>
    <t>ROJAS MOYA TAMARA VANESSA</t>
  </si>
  <si>
    <t>ROJAS VEGA PRUDENCIA UDELINA</t>
  </si>
  <si>
    <t>SE PAGA NIVEL 3</t>
  </si>
  <si>
    <t>SALINAS GONZALEZ JOAQUIN ADAN</t>
  </si>
  <si>
    <t>TRONCOSO AGUAYO DEBORA D.</t>
  </si>
  <si>
    <t>MOREIRA PARRAGUEZ SUSANA ELENA</t>
  </si>
  <si>
    <t>DIAZ FERNANDEZ DENISSE ANDREA</t>
  </si>
  <si>
    <t>PEREZ RONDON ANDREA AGNELA</t>
  </si>
  <si>
    <t>KIRAZ DE NAVA LILIANA</t>
  </si>
  <si>
    <t>AREVALO ARISTIMUÑO ARNOLD</t>
  </si>
  <si>
    <t>BASCUÑAN GOMEZ SANDRA</t>
  </si>
  <si>
    <t>MEDINA ALVAREZ FRANCO</t>
  </si>
  <si>
    <t>MEDINA MERINO CAROLINA</t>
  </si>
  <si>
    <t>SULBARAN BENCOMO MARIA</t>
  </si>
  <si>
    <t>CEA ZUÑIGA OLGA</t>
  </si>
  <si>
    <t>13.02.93</t>
  </si>
  <si>
    <t>ESCOBAR OSORIO CLAUDIA MARCELA</t>
  </si>
  <si>
    <t>PACHECO AGUILAR GISSELA</t>
  </si>
  <si>
    <t xml:space="preserve">DECRETO EN TRAMITE </t>
  </si>
  <si>
    <t>RAMIREZ SMITH IGNACIO ALBERTO</t>
  </si>
  <si>
    <t>PASIVADO</t>
  </si>
  <si>
    <t>AVILA ROJAS KEVIN IGNACIO</t>
  </si>
  <si>
    <t>COCA OLIVARES CRISTIAN JORGE</t>
  </si>
  <si>
    <t>GONZALEZ NUÑEZ PAULA ANDREA</t>
  </si>
  <si>
    <t>ENERO-JUNIO 2020</t>
  </si>
  <si>
    <t>JULIO-DIC.2020</t>
  </si>
  <si>
    <t>CAMBIA X CAPACITACION</t>
  </si>
  <si>
    <t>ASTORGA GONZALEZ CESAR F.</t>
  </si>
  <si>
    <t>SAEZ LEYTON JESSICA PATRICIA</t>
  </si>
  <si>
    <t>GALLEGUILLOS ALIAGA CARLOS HERNAN</t>
  </si>
  <si>
    <t>GARRIDO VICUÑA MARIA ISABEL</t>
  </si>
  <si>
    <t>ESTRADA TORTOLERO MARIANA</t>
  </si>
  <si>
    <t>BADILLA GOMEZ CELIA EMPERATRIZ</t>
  </si>
  <si>
    <t>ENERO-JUNIO 2021</t>
  </si>
  <si>
    <t>MORILLAS MUÑOZ NIDIA</t>
  </si>
  <si>
    <t>BOCHARD FRITZ ANA MARIA</t>
  </si>
  <si>
    <t>MUÑOZ RENGIFO VALESKA</t>
  </si>
  <si>
    <t>SUAZO FALCON ELIZABETH RAQUEL</t>
  </si>
  <si>
    <t>VERA ZAMBRANO ROSEIDY</t>
  </si>
  <si>
    <t>VERA ZAMBRABO ROSEIDY</t>
  </si>
  <si>
    <t>HOLGUIN IRIARTE ANGELA</t>
  </si>
  <si>
    <t>MARQUEZ BARRANCO ANA</t>
  </si>
  <si>
    <t>COLLAO PINO BARBARA</t>
  </si>
  <si>
    <t>DURAN SOTO VIVIANA ANDREA</t>
  </si>
  <si>
    <t>INOSTROZA OSSES LENKA IVONNE</t>
  </si>
  <si>
    <t>MARTINEZ REYES ROXANA</t>
  </si>
  <si>
    <t>JULIO-DICIEMBRE 2021</t>
  </si>
  <si>
    <t>BASTIAS RETAMAL KAREN ANDREA</t>
  </si>
  <si>
    <t>LORCA ESPINOZA CRISTIAN F.</t>
  </si>
  <si>
    <t>CATALAN ARTIGAS MATIAS</t>
  </si>
  <si>
    <t>PEÑA GODOY FERNANDO ANTONIO</t>
  </si>
  <si>
    <t xml:space="preserve">SANHUEZA ZELAYA ERICK </t>
  </si>
  <si>
    <t>BOCAZ ZUÑIGA JOHANNA JACQUELINE</t>
  </si>
  <si>
    <t>JARA MORALES MARILUZ DEL C.</t>
  </si>
  <si>
    <t>MONTE DE OCA FERNANDEZ MARGARITA</t>
  </si>
  <si>
    <t>PALMA TRONCOSO KARINA ANDREA</t>
  </si>
  <si>
    <t>SUAREZ CATALAN PAOLA ANDREA</t>
  </si>
  <si>
    <t>VILLARROEL PIEDRA MARIA JESUS</t>
  </si>
  <si>
    <t xml:space="preserve">ENERO-JUNIO </t>
  </si>
  <si>
    <t>JULIO-DICIEMBRE</t>
  </si>
  <si>
    <t>BUHOLZER MUÑOZ CONSTANZA V.</t>
  </si>
  <si>
    <t>ESPINOZA RUBIO VICTOR MANUEL</t>
  </si>
  <si>
    <t>GUTIERREZ MEDINA NICOLAS G.</t>
  </si>
  <si>
    <t>HERNANDEZ GOMEZ MARIA J.</t>
  </si>
  <si>
    <t>PIUTRIN MEZA FRANCISCA PATRICIA</t>
  </si>
  <si>
    <t xml:space="preserve">ARAVENA MELIPILLAN CINTHIA </t>
  </si>
  <si>
    <t xml:space="preserve">SEPULVEDA MIRANDA NELSON </t>
  </si>
  <si>
    <t>VALENZUELA SANDOVAL KATHERINE</t>
  </si>
  <si>
    <t>SOTO AMPUERO MARIAN</t>
  </si>
  <si>
    <t>DEL RIO PEREZ DANIELA FERNANDA</t>
  </si>
  <si>
    <t>MORALES ABARZA MARCELA M.</t>
  </si>
  <si>
    <t>MENA HIDALGO PAULA DEL PILAR</t>
  </si>
  <si>
    <t>SEPULVEDA RODRIGUEZ KAREN</t>
  </si>
  <si>
    <t>NAVARRO VALENZUELA ANDREA A.</t>
  </si>
  <si>
    <t>ALARCON DROGUETT ELIZABETH</t>
  </si>
  <si>
    <t>BARRERA MATELUNA JOSE</t>
  </si>
  <si>
    <t>LOPEZ MARTINEZ BASTIAN A.</t>
  </si>
  <si>
    <t>PERALTA MARTINEZ NICOLE</t>
  </si>
  <si>
    <t>CISTERNAS PINO  SOLEDAD A.</t>
  </si>
  <si>
    <t>NAVA DURAN ANDREA LESLIE</t>
  </si>
  <si>
    <t>VIGNOLO RIQUELME GINO F.</t>
  </si>
  <si>
    <t>CHAMORRO CASTILLO CATALINA</t>
  </si>
  <si>
    <t>SOTO JARA MELANIE FRANCISCA</t>
  </si>
  <si>
    <t>VASQUEZ JARA LUIS ALBERTO</t>
  </si>
  <si>
    <t>CANTILLANA SCHIFFERLI SAVK</t>
  </si>
  <si>
    <t>RIQUELME ROMO ROMINA RAYEN</t>
  </si>
  <si>
    <t>ARAUJO SPELORZI YOHANNA</t>
  </si>
  <si>
    <t>LAYA PINTO MARISABEL DEL C.</t>
  </si>
  <si>
    <t>LEAL LEPE MARGARITA  DEL C.</t>
  </si>
  <si>
    <t>LEAL LEPE MARGARITA DEL C.</t>
  </si>
  <si>
    <t>LEIVA MENDEZ SOFIA VALENTINA</t>
  </si>
  <si>
    <t>OCAMPOS AGURTO MARIA JOSE</t>
  </si>
  <si>
    <t>VEAS MELLADO CLAUDIA</t>
  </si>
  <si>
    <t>ABURTO GUZMAN PABLO</t>
  </si>
  <si>
    <t>BASTIDAS JORQUERA KAREN</t>
  </si>
  <si>
    <t>GONZALEZ HAMASAKI JASMIN</t>
  </si>
  <si>
    <t>LUQUE MORAGA CAMILA</t>
  </si>
  <si>
    <t>MARTINEZ BAEZ NICOLE ALEJANDRA</t>
  </si>
  <si>
    <t>PAIS PEDOTA CARLOS ALBERTO</t>
  </si>
  <si>
    <t>SEGUEL ERASO PAMELA ESTER</t>
  </si>
  <si>
    <t>VILLAGRAN CARO KATHERINNE</t>
  </si>
  <si>
    <t>AVILA BARRAZA ADRIANA A.</t>
  </si>
  <si>
    <t>BLANCHET ERTHA</t>
  </si>
  <si>
    <t>SAGREDO SEPULVEDA PAMELA</t>
  </si>
  <si>
    <t>VALDEZ PAEZ CARLOS ALBERTO</t>
  </si>
  <si>
    <t>MUÑOZ MOLINA NATALIA C.</t>
  </si>
  <si>
    <t>NIÑO DE TOYO MARISOL</t>
  </si>
  <si>
    <t>SAAVEDRA RODRIGUEZ CAROL</t>
  </si>
  <si>
    <t>CANCINO LUCERO  CATALINA A.</t>
  </si>
  <si>
    <t>ESPINOZA JIMENEZ BRENDA</t>
  </si>
  <si>
    <t>PARRA ARAVENA DIEGO ANTONIO</t>
  </si>
  <si>
    <t>PARRA ARAVENA DIEGO A.</t>
  </si>
  <si>
    <t>ZANETTI CASTILLO PAOLA</t>
  </si>
  <si>
    <t>MANDAKOVIC ACHIARDI VESNA LJUBICA</t>
  </si>
  <si>
    <t>ESPINOSA BAHAMONDES PATRICIA</t>
  </si>
  <si>
    <t>ALVARADO MUÑOZ NANCY E.</t>
  </si>
  <si>
    <t>MORA CONTRERAS AYLINE I.</t>
  </si>
  <si>
    <t>NEIRA MORENO STEPHANIE A.</t>
  </si>
  <si>
    <t>OVALLE MONTECINOS CONSTANZA</t>
  </si>
  <si>
    <t>REYES JOFRE ELIZABETH A.</t>
  </si>
  <si>
    <t>RIOS MIRANDA ANIBAL ANDRES</t>
  </si>
  <si>
    <t>ROJAS PAVEZ JAVIERA CONSTANZA</t>
  </si>
  <si>
    <t>ZAPATA TORO VIVIANA DEL CARMEN</t>
  </si>
  <si>
    <t>ZAMORANO RIVERA FABIANA</t>
  </si>
  <si>
    <t>JULIO-AGOSTO</t>
  </si>
  <si>
    <t>SEPTIEMBRE-DICIEMBRE</t>
  </si>
  <si>
    <t>ENERO-AGOSTO</t>
  </si>
  <si>
    <t>GALLARDO CARREÑO TERESA P.</t>
  </si>
  <si>
    <t>REYES POZO FRANCISCO JAVIER</t>
  </si>
  <si>
    <t>VIRLA CARROZ XIOBEL C.</t>
  </si>
  <si>
    <t>VIRLA CARROZ XIOBEL</t>
  </si>
  <si>
    <t>AYALA CABRERA LORETO A.</t>
  </si>
  <si>
    <t>ROZAS CARES CATALINA</t>
  </si>
  <si>
    <t>VILCHES ANDRADE MATIAS NICOLAS</t>
  </si>
  <si>
    <t>CONTRERAS CONTRERAS MARIA JOSE</t>
  </si>
  <si>
    <t>SILVA MARCANO ISMARYEL</t>
  </si>
  <si>
    <t>MARABOLI ARRIAGADA ANGELO</t>
  </si>
  <si>
    <t>CASANOVA SEPULVEDA MICSY</t>
  </si>
  <si>
    <t>BUSTOS HERNANDEZ SALVADOR</t>
  </si>
  <si>
    <t>CARRASCO TRONCOSO LAYDA E.</t>
  </si>
  <si>
    <t>FIGUEROA CUEVAS OSVALDO A.</t>
  </si>
  <si>
    <t>LUCERO GAETE IVAN</t>
  </si>
  <si>
    <t>LUTFALLAH REYES GENY S.</t>
  </si>
  <si>
    <t>MARTINEZ ANTILLANCA RODRIGO</t>
  </si>
  <si>
    <t>MEZA BASCUÑAN SCARLETH</t>
  </si>
  <si>
    <t>MUÑOZ CONTARDO HELIA</t>
  </si>
  <si>
    <t>PRADA DE GUERRA YOLIS</t>
  </si>
  <si>
    <t>ROJAS QUEVEDO TANIA ESTER</t>
  </si>
  <si>
    <t>VALENZUELA SALAZAR ANDRES A.</t>
  </si>
  <si>
    <t>VEGA FARIAS LILEN ANAIS</t>
  </si>
  <si>
    <t>VERA JARA CATALINA FERNANDA</t>
  </si>
  <si>
    <t>VERDEZOTO COELLO NIDIA M.</t>
  </si>
  <si>
    <t>PEREZ PEREZ DANIEL IGNACIO</t>
  </si>
  <si>
    <t>REEMPLAZO</t>
  </si>
  <si>
    <t>GOMEZ CARDEIRO PATRICIO</t>
  </si>
  <si>
    <t>MELGAREJO SCHNEIDER KARLA</t>
  </si>
  <si>
    <t>SAURE GUARDA JUAN CARLOS</t>
  </si>
  <si>
    <t>ALFARO SEGUEL BRAYAN MANUEL</t>
  </si>
  <si>
    <t>URBINA CACERES ERNESTO H.</t>
  </si>
  <si>
    <t>ESPINOZA HORMAZABAL NATALIA</t>
  </si>
  <si>
    <t>GALVEZ OLAVARRIA DENISE</t>
  </si>
  <si>
    <t>MENDEZ VARAS ARANTZA</t>
  </si>
  <si>
    <t>MUÑOZ ALVAREZ THAIS</t>
  </si>
  <si>
    <t>GARIN OYARCE DIEGO ALONSO</t>
  </si>
  <si>
    <t>MERINO MOYA CAMILA</t>
  </si>
  <si>
    <t>SIERRA SOTELO SASHA</t>
  </si>
  <si>
    <t>LOBOS SANCHEZ PATRICIO ENRIQUE</t>
  </si>
  <si>
    <t>SCHOLL MANDUJANO FELIPE</t>
  </si>
  <si>
    <t>VALDIVIA SALINAS MELISSA</t>
  </si>
  <si>
    <t>NORDENFLICHT GALLLARDO NATALIA</t>
  </si>
  <si>
    <t>SANTANACH LOPEZ ADAY</t>
  </si>
  <si>
    <t>CORTES SEPULVEDA DAPHNE</t>
  </si>
  <si>
    <t>PASTEN FARIAS ANDREA C.</t>
  </si>
  <si>
    <t>QUEVEDO MARABOLI DANIEL A.</t>
  </si>
  <si>
    <t xml:space="preserve">RICCA BENAVIDES NATALIA </t>
  </si>
  <si>
    <t>BRIONES MACIAS IRMA</t>
  </si>
  <si>
    <t>01.10.2015</t>
  </si>
  <si>
    <t xml:space="preserve"> LUCERO NAVARRO CATALINA A.</t>
  </si>
  <si>
    <t>ASTORGA FRANCO DOMINIQUE</t>
  </si>
  <si>
    <t>GONZALEZ MUÑOZ BENJAMIN</t>
  </si>
  <si>
    <t>UGARTE GAFARO OMAR</t>
  </si>
  <si>
    <t>FIGUEROA ESPINOSA PAMELA</t>
  </si>
  <si>
    <t>OYARZO ALVAREZ JAVIERA I.</t>
  </si>
  <si>
    <t>ASTUDILLO GODOY CAROLINA</t>
  </si>
  <si>
    <t>BERTELLI RICARDI CINZIA A.</t>
  </si>
  <si>
    <t>GOMEZ CARDEIRO PATRICIO A.</t>
  </si>
  <si>
    <t>GONZALEZ ROJAS CONSTANZA</t>
  </si>
  <si>
    <t>GONZALEZ VELIZ DIEGO IGNACIO</t>
  </si>
  <si>
    <t>OCAMPO MOYA GINFIED ANDREA</t>
  </si>
  <si>
    <t>RODRIGUEZ LOBOS CONSTANZA</t>
  </si>
  <si>
    <t>ROZAS GONZALEZ LEONEL ANDRES</t>
  </si>
  <si>
    <t>SALDAÑA RODRIGUEZ CONSTANZA</t>
  </si>
  <si>
    <t>ASPEE RODRIGUEZ CRISTIAN A.</t>
  </si>
  <si>
    <t>DAVILA VACAFLOR MONICA</t>
  </si>
  <si>
    <t>MALDONADO VARGAS NICOLAS</t>
  </si>
  <si>
    <t>IRARRAZAVAL INFANTE SOFIA</t>
  </si>
  <si>
    <t>FALTAN DATOS CARRERA</t>
  </si>
  <si>
    <t>OLIVERO MARTINEZ KARINA A.</t>
  </si>
  <si>
    <t>ALARCON CARDENAS ALEJANDFRO</t>
  </si>
  <si>
    <t>BRAVO CASTILLO NICOLE</t>
  </si>
  <si>
    <t>RAMOS CCALLA GIAN</t>
  </si>
  <si>
    <t>ACEVEDO BARRIA JOSELYN</t>
  </si>
  <si>
    <t>ALFONSO BARRERA MARIA</t>
  </si>
  <si>
    <t>DIAZ MUÑOZ CONSTANZA ISABEL</t>
  </si>
  <si>
    <t>GARCIA TROMILEN CLAUDIA</t>
  </si>
  <si>
    <t>LAGOS CATRILEO CATALINA</t>
  </si>
  <si>
    <t>MANQUELIPE MARILEF MAURICIO</t>
  </si>
  <si>
    <t>OLGUIN BURGOS CLAUDIO</t>
  </si>
  <si>
    <t>26/0/2027</t>
  </si>
  <si>
    <t>SERRANO BUSTOS JENNIFFER</t>
  </si>
  <si>
    <t>GUAJARDO SILVA MAUREN</t>
  </si>
  <si>
    <t>SEPT.</t>
  </si>
  <si>
    <t>OCT.</t>
  </si>
  <si>
    <t>NOV</t>
  </si>
  <si>
    <t>DIC</t>
  </si>
  <si>
    <t>ENE.</t>
  </si>
  <si>
    <t>FEB.</t>
  </si>
  <si>
    <t>MAR</t>
  </si>
  <si>
    <t>ABR</t>
  </si>
  <si>
    <t>MAY</t>
  </si>
  <si>
    <t>JUN</t>
  </si>
  <si>
    <t>JUL</t>
  </si>
  <si>
    <t>AGO</t>
  </si>
  <si>
    <t>CACERES GONZALEZ MARIANN</t>
  </si>
  <si>
    <t>PASTEN FARIAS ANDREA CAROLINA</t>
  </si>
  <si>
    <t>URBAEZ OCHOA ROSANNY</t>
  </si>
  <si>
    <t>RONDON SOLORZANO KAREN</t>
  </si>
  <si>
    <t>SAN MARTIN INFANTE CLAUDIA</t>
  </si>
  <si>
    <t>TAPIA SOTO CORINA</t>
  </si>
  <si>
    <t>VIDAL DIAZ MONICA PAULINA</t>
  </si>
  <si>
    <t>TAPIA SOTO CORINA DEL CARMEN</t>
  </si>
  <si>
    <t>OJEDA VALDES MARITZA</t>
  </si>
  <si>
    <t>TAPIA SEPULVEDA ANGELA</t>
  </si>
  <si>
    <t>TRONCOSO RIVEROS OSCAR N.</t>
  </si>
  <si>
    <t>ALARCON CARDENAS ALEJANDRA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</si>
</sst>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dd/mm/yyyy;@"/>
    <numFmt numFmtId="166" formatCode="0.0"/>
  </numFmts>
  <fonts count="45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2"/>
      <color rgb="FFFF0000"/>
      <name val="Arial Black"/>
      <family val="2"/>
    </font>
    <font>
      <b/>
      <sz val="12"/>
      <name val="Arial Black"/>
      <family val="2"/>
    </font>
    <font>
      <b/>
      <sz val="11"/>
      <color theme="1"/>
      <name val="Calibri"/>
      <family val="2"/>
      <scheme val="minor"/>
    </font>
    <font>
      <b/>
      <sz val="12"/>
      <color rgb="FF002060"/>
      <name val="Arial Black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rgb="FFFF0000"/>
      <name val="Arial Black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6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1"/>
      <name val="Arial Black"/>
      <family val="2"/>
    </font>
    <font>
      <b/>
      <sz val="12"/>
      <color rgb="FF002060"/>
      <name val="Calibri"/>
      <family val="2"/>
      <scheme val="minor"/>
    </font>
    <font>
      <b/>
      <sz val="14"/>
      <color rgb="FF002060"/>
      <name val="Calibri"/>
      <family val="2"/>
      <scheme val="minor"/>
    </font>
    <font>
      <b/>
      <sz val="14"/>
      <color rgb="FF002060"/>
      <name val="Arial Rounded MT Bold"/>
      <family val="2"/>
    </font>
    <font>
      <b/>
      <sz val="14"/>
      <color rgb="FF002060"/>
      <name val="Arial Black"/>
      <family val="2"/>
    </font>
    <font>
      <b/>
      <sz val="12"/>
      <color rgb="FF002060"/>
      <name val="Arial"/>
      <family val="2"/>
    </font>
    <font>
      <sz val="11"/>
      <color rgb="FF002060"/>
      <name val="Calibri"/>
      <family val="2"/>
      <scheme val="minor"/>
    </font>
    <font>
      <b/>
      <sz val="16"/>
      <color rgb="FF002060"/>
      <name val="Calibri"/>
      <family val="2"/>
      <scheme val="minor"/>
    </font>
    <font>
      <b/>
      <sz val="16"/>
      <color rgb="FF002060"/>
      <name val="Arial"/>
      <family val="2"/>
    </font>
    <font>
      <b/>
      <sz val="11"/>
      <color rgb="FF002060"/>
      <name val="Calibri"/>
      <family val="2"/>
      <scheme val="minor"/>
    </font>
    <font>
      <b/>
      <sz val="12"/>
      <color theme="1"/>
      <name val="Arial"/>
      <family val="2"/>
    </font>
    <font>
      <b/>
      <sz val="11"/>
      <color rgb="FFFF0000"/>
      <name val="Cambria"/>
      <family val="1"/>
      <scheme val="major"/>
    </font>
    <font>
      <b/>
      <sz val="14"/>
      <color rgb="FFFF0000"/>
      <name val="Arial Black"/>
      <family val="2"/>
    </font>
    <font>
      <b/>
      <sz val="14"/>
      <color rgb="FFFF0000"/>
      <name val="Calibri"/>
      <family val="2"/>
      <scheme val="minor"/>
    </font>
    <font>
      <b/>
      <sz val="9"/>
      <color indexed="81"/>
      <name val="Tahoma"/>
      <family val="2"/>
    </font>
    <font>
      <b/>
      <i/>
      <sz val="12"/>
      <color indexed="10"/>
      <name val="Arial"/>
      <family val="2"/>
    </font>
    <font>
      <sz val="14"/>
      <color theme="1"/>
      <name val="Arial Black"/>
      <family val="2"/>
    </font>
    <font>
      <b/>
      <sz val="14"/>
      <color theme="1"/>
      <name val="Arial Black"/>
      <family val="2"/>
    </font>
    <font>
      <b/>
      <sz val="16"/>
      <color rgb="FF002060"/>
      <name val="Stencil"/>
      <family val="5"/>
    </font>
    <font>
      <b/>
      <sz val="14"/>
      <name val="Arial Black"/>
      <family val="2"/>
    </font>
    <font>
      <b/>
      <sz val="16"/>
      <color rgb="FFFF0000"/>
      <name val="Arial Black"/>
      <family val="2"/>
    </font>
    <font>
      <b/>
      <sz val="16"/>
      <name val="Stencil"/>
      <family val="5"/>
    </font>
    <font>
      <sz val="12"/>
      <color rgb="FF002060"/>
      <name val="Arial Black"/>
      <family val="2"/>
    </font>
    <font>
      <b/>
      <sz val="11"/>
      <color rgb="FFFF0000"/>
      <name val="Berlin Sans FB"/>
      <family val="2"/>
    </font>
    <font>
      <b/>
      <sz val="11"/>
      <color theme="0"/>
      <name val="Aharoni"/>
      <charset val="177"/>
    </font>
    <font>
      <sz val="9"/>
      <color indexed="81"/>
      <name val="Tahoma"/>
      <family val="2"/>
    </font>
    <font>
      <b/>
      <sz val="10"/>
      <color indexed="10"/>
      <name val="Arial Black"/>
      <family val="2"/>
    </font>
    <font>
      <b/>
      <sz val="11"/>
      <color indexed="10"/>
      <name val="Tahoma"/>
      <family val="2"/>
    </font>
    <font>
      <b/>
      <sz val="11"/>
      <color rgb="FFFF0000"/>
      <name val="Britannic Bold"/>
      <family val="2"/>
    </font>
    <font>
      <b/>
      <sz val="11"/>
      <color rgb="FFFF0000"/>
      <name val="Aharoni"/>
      <charset val="177"/>
    </font>
  </fonts>
  <fills count="2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2" tint="-0.49998474074526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7" fillId="0" borderId="0"/>
  </cellStyleXfs>
  <cellXfs count="233">
    <xf numFmtId="0" fontId="0" fillId="0" borderId="0" xfId="0"/>
    <xf numFmtId="0" fontId="7" fillId="3" borderId="1" xfId="1" applyFill="1" applyBorder="1"/>
    <xf numFmtId="0" fontId="10" fillId="3" borderId="1" xfId="1" applyFont="1" applyFill="1" applyBorder="1" applyAlignment="1">
      <alignment horizontal="center"/>
    </xf>
    <xf numFmtId="3" fontId="4" fillId="3" borderId="1" xfId="0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2" fontId="3" fillId="3" borderId="1" xfId="0" applyNumberFormat="1" applyFont="1" applyFill="1" applyBorder="1"/>
    <xf numFmtId="0" fontId="6" fillId="3" borderId="1" xfId="0" applyFont="1" applyFill="1" applyBorder="1" applyAlignment="1">
      <alignment horizontal="center"/>
    </xf>
    <xf numFmtId="0" fontId="0" fillId="3" borderId="0" xfId="0" applyFill="1"/>
    <xf numFmtId="14" fontId="9" fillId="3" borderId="1" xfId="1" applyNumberFormat="1" applyFont="1" applyFill="1" applyBorder="1" applyAlignment="1">
      <alignment horizontal="right"/>
    </xf>
    <xf numFmtId="0" fontId="2" fillId="3" borderId="0" xfId="0" applyFont="1" applyFill="1" applyAlignment="1">
      <alignment horizontal="center"/>
    </xf>
    <xf numFmtId="0" fontId="8" fillId="3" borderId="1" xfId="1" applyFont="1" applyFill="1" applyBorder="1"/>
    <xf numFmtId="14" fontId="11" fillId="3" borderId="1" xfId="1" applyNumberFormat="1" applyFont="1" applyFill="1" applyBorder="1" applyAlignment="1">
      <alignment horizontal="right"/>
    </xf>
    <xf numFmtId="165" fontId="11" fillId="3" borderId="1" xfId="1" applyNumberFormat="1" applyFont="1" applyFill="1" applyBorder="1" applyAlignment="1">
      <alignment horizontal="right"/>
    </xf>
    <xf numFmtId="14" fontId="7" fillId="3" borderId="1" xfId="1" applyNumberFormat="1" applyFill="1" applyBorder="1"/>
    <xf numFmtId="0" fontId="11" fillId="3" borderId="1" xfId="1" applyFont="1" applyFill="1" applyBorder="1"/>
    <xf numFmtId="165" fontId="12" fillId="3" borderId="1" xfId="1" applyNumberFormat="1" applyFont="1" applyFill="1" applyBorder="1"/>
    <xf numFmtId="0" fontId="12" fillId="3" borderId="1" xfId="1" applyFont="1" applyFill="1" applyBorder="1"/>
    <xf numFmtId="14" fontId="11" fillId="3" borderId="1" xfId="1" applyNumberFormat="1" applyFont="1" applyFill="1" applyBorder="1"/>
    <xf numFmtId="14" fontId="8" fillId="3" borderId="1" xfId="1" applyNumberFormat="1" applyFont="1" applyFill="1" applyBorder="1"/>
    <xf numFmtId="0" fontId="11" fillId="3" borderId="1" xfId="1" applyFont="1" applyFill="1" applyBorder="1" applyAlignment="1">
      <alignment horizontal="right"/>
    </xf>
    <xf numFmtId="165" fontId="11" fillId="3" borderId="1" xfId="1" applyNumberFormat="1" applyFont="1" applyFill="1" applyBorder="1"/>
    <xf numFmtId="0" fontId="13" fillId="2" borderId="0" xfId="0" applyFont="1" applyFill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164" fontId="2" fillId="4" borderId="1" xfId="0" applyNumberFormat="1" applyFont="1" applyFill="1" applyBorder="1"/>
    <xf numFmtId="0" fontId="1" fillId="7" borderId="2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center"/>
    </xf>
    <xf numFmtId="0" fontId="1" fillId="9" borderId="2" xfId="0" applyFont="1" applyFill="1" applyBorder="1" applyAlignment="1">
      <alignment horizontal="center"/>
    </xf>
    <xf numFmtId="0" fontId="5" fillId="2" borderId="0" xfId="0" applyFont="1" applyFill="1"/>
    <xf numFmtId="0" fontId="16" fillId="6" borderId="1" xfId="0" applyFont="1" applyFill="1" applyBorder="1"/>
    <xf numFmtId="14" fontId="17" fillId="6" borderId="1" xfId="0" applyNumberFormat="1" applyFont="1" applyFill="1" applyBorder="1" applyAlignment="1">
      <alignment horizontal="center"/>
    </xf>
    <xf numFmtId="0" fontId="18" fillId="6" borderId="1" xfId="0" applyFont="1" applyFill="1" applyBorder="1"/>
    <xf numFmtId="0" fontId="19" fillId="6" borderId="2" xfId="0" applyFont="1" applyFill="1" applyBorder="1" applyAlignment="1">
      <alignment horizontal="center"/>
    </xf>
    <xf numFmtId="0" fontId="21" fillId="3" borderId="0" xfId="0" applyFont="1" applyFill="1"/>
    <xf numFmtId="0" fontId="23" fillId="3" borderId="1" xfId="1" applyFont="1" applyFill="1" applyBorder="1" applyAlignment="1">
      <alignment horizontal="right"/>
    </xf>
    <xf numFmtId="165" fontId="20" fillId="3" borderId="1" xfId="1" applyNumberFormat="1" applyFont="1" applyFill="1" applyBorder="1" applyAlignment="1">
      <alignment horizontal="right"/>
    </xf>
    <xf numFmtId="0" fontId="20" fillId="3" borderId="1" xfId="1" applyFont="1" applyFill="1" applyBorder="1"/>
    <xf numFmtId="14" fontId="20" fillId="3" borderId="1" xfId="1" applyNumberFormat="1" applyFont="1" applyFill="1" applyBorder="1" applyAlignment="1">
      <alignment horizontal="right"/>
    </xf>
    <xf numFmtId="2" fontId="6" fillId="3" borderId="1" xfId="0" applyNumberFormat="1" applyFont="1" applyFill="1" applyBorder="1"/>
    <xf numFmtId="14" fontId="1" fillId="6" borderId="2" xfId="0" applyNumberFormat="1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164" fontId="1" fillId="3" borderId="5" xfId="0" applyNumberFormat="1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4" fontId="1" fillId="3" borderId="5" xfId="0" applyNumberFormat="1" applyFont="1" applyFill="1" applyBorder="1" applyAlignment="1">
      <alignment horizontal="center"/>
    </xf>
    <xf numFmtId="0" fontId="14" fillId="3" borderId="5" xfId="0" applyFont="1" applyFill="1" applyBorder="1" applyAlignment="1">
      <alignment horizontal="center"/>
    </xf>
    <xf numFmtId="0" fontId="1" fillId="10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24" fillId="3" borderId="0" xfId="0" applyFont="1" applyFill="1"/>
    <xf numFmtId="165" fontId="20" fillId="3" borderId="1" xfId="1" applyNumberFormat="1" applyFont="1" applyFill="1" applyBorder="1"/>
    <xf numFmtId="0" fontId="27" fillId="6" borderId="2" xfId="0" applyFont="1" applyFill="1" applyBorder="1" applyAlignment="1">
      <alignment horizontal="center"/>
    </xf>
    <xf numFmtId="0" fontId="28" fillId="7" borderId="2" xfId="0" applyFont="1" applyFill="1" applyBorder="1" applyAlignment="1">
      <alignment horizontal="center"/>
    </xf>
    <xf numFmtId="165" fontId="25" fillId="3" borderId="1" xfId="1" applyNumberFormat="1" applyFont="1" applyFill="1" applyBorder="1" applyAlignment="1">
      <alignment horizontal="right"/>
    </xf>
    <xf numFmtId="0" fontId="1" fillId="11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164" fontId="2" fillId="3" borderId="1" xfId="0" applyNumberFormat="1" applyFont="1" applyFill="1" applyBorder="1"/>
    <xf numFmtId="0" fontId="14" fillId="4" borderId="2" xfId="0" applyFont="1" applyFill="1" applyBorder="1" applyAlignment="1">
      <alignment horizontal="center"/>
    </xf>
    <xf numFmtId="0" fontId="31" fillId="3" borderId="0" xfId="0" applyFont="1" applyFill="1" applyAlignment="1">
      <alignment horizontal="center"/>
    </xf>
    <xf numFmtId="0" fontId="1" fillId="12" borderId="2" xfId="0" applyFont="1" applyFill="1" applyBorder="1" applyAlignment="1">
      <alignment horizontal="center"/>
    </xf>
    <xf numFmtId="0" fontId="14" fillId="12" borderId="2" xfId="0" applyFont="1" applyFill="1" applyBorder="1" applyAlignment="1">
      <alignment horizontal="center"/>
    </xf>
    <xf numFmtId="0" fontId="1" fillId="13" borderId="2" xfId="0" applyFont="1" applyFill="1" applyBorder="1" applyAlignment="1">
      <alignment horizontal="center"/>
    </xf>
    <xf numFmtId="4" fontId="1" fillId="2" borderId="5" xfId="0" applyNumberFormat="1" applyFont="1" applyFill="1" applyBorder="1" applyAlignment="1">
      <alignment horizontal="center"/>
    </xf>
    <xf numFmtId="0" fontId="14" fillId="9" borderId="2" xfId="0" applyFont="1" applyFill="1" applyBorder="1" applyAlignment="1">
      <alignment horizontal="center"/>
    </xf>
    <xf numFmtId="166" fontId="1" fillId="9" borderId="2" xfId="0" applyNumberFormat="1" applyFont="1" applyFill="1" applyBorder="1" applyAlignment="1">
      <alignment horizontal="center"/>
    </xf>
    <xf numFmtId="0" fontId="27" fillId="3" borderId="2" xfId="0" applyFont="1" applyFill="1" applyBorder="1" applyAlignment="1">
      <alignment horizontal="center"/>
    </xf>
    <xf numFmtId="0" fontId="32" fillId="4" borderId="2" xfId="0" applyFont="1" applyFill="1" applyBorder="1" applyAlignment="1">
      <alignment horizontal="center"/>
    </xf>
    <xf numFmtId="0" fontId="32" fillId="12" borderId="2" xfId="0" applyFont="1" applyFill="1" applyBorder="1" applyAlignment="1">
      <alignment horizontal="center"/>
    </xf>
    <xf numFmtId="0" fontId="32" fillId="2" borderId="2" xfId="0" applyFont="1" applyFill="1" applyBorder="1" applyAlignment="1">
      <alignment horizontal="center"/>
    </xf>
    <xf numFmtId="0" fontId="32" fillId="15" borderId="2" xfId="0" applyFont="1" applyFill="1" applyBorder="1" applyAlignment="1">
      <alignment horizontal="center"/>
    </xf>
    <xf numFmtId="0" fontId="1" fillId="15" borderId="2" xfId="0" applyFont="1" applyFill="1" applyBorder="1" applyAlignment="1">
      <alignment horizontal="center"/>
    </xf>
    <xf numFmtId="0" fontId="33" fillId="3" borderId="1" xfId="0" applyFont="1" applyFill="1" applyBorder="1" applyAlignment="1">
      <alignment horizontal="center"/>
    </xf>
    <xf numFmtId="0" fontId="32" fillId="6" borderId="2" xfId="0" applyFont="1" applyFill="1" applyBorder="1" applyAlignment="1">
      <alignment horizontal="center"/>
    </xf>
    <xf numFmtId="14" fontId="20" fillId="3" borderId="1" xfId="1" applyNumberFormat="1" applyFont="1" applyFill="1" applyBorder="1"/>
    <xf numFmtId="0" fontId="32" fillId="14" borderId="2" xfId="0" applyFont="1" applyFill="1" applyBorder="1" applyAlignment="1">
      <alignment horizontal="center"/>
    </xf>
    <xf numFmtId="0" fontId="32" fillId="10" borderId="2" xfId="0" applyFont="1" applyFill="1" applyBorder="1" applyAlignment="1">
      <alignment horizontal="center"/>
    </xf>
    <xf numFmtId="14" fontId="20" fillId="3" borderId="6" xfId="1" applyNumberFormat="1" applyFont="1" applyFill="1" applyBorder="1" applyAlignment="1">
      <alignment horizontal="right"/>
    </xf>
    <xf numFmtId="164" fontId="4" fillId="3" borderId="1" xfId="0" applyNumberFormat="1" applyFont="1" applyFill="1" applyBorder="1" applyAlignment="1">
      <alignment horizontal="center"/>
    </xf>
    <xf numFmtId="0" fontId="34" fillId="2" borderId="2" xfId="0" applyFont="1" applyFill="1" applyBorder="1" applyAlignment="1">
      <alignment horizontal="center"/>
    </xf>
    <xf numFmtId="0" fontId="32" fillId="3" borderId="2" xfId="0" applyFont="1" applyFill="1" applyBorder="1" applyAlignment="1">
      <alignment horizontal="center"/>
    </xf>
    <xf numFmtId="0" fontId="6" fillId="3" borderId="0" xfId="0" applyFont="1" applyFill="1" applyAlignment="1">
      <alignment horizontal="center"/>
    </xf>
    <xf numFmtId="0" fontId="33" fillId="3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7" fillId="17" borderId="1" xfId="1" applyFill="1" applyBorder="1"/>
    <xf numFmtId="0" fontId="10" fillId="17" borderId="1" xfId="1" applyFont="1" applyFill="1" applyBorder="1" applyAlignment="1">
      <alignment horizontal="center"/>
    </xf>
    <xf numFmtId="3" fontId="4" fillId="17" borderId="1" xfId="0" applyNumberFormat="1" applyFont="1" applyFill="1" applyBorder="1" applyAlignment="1">
      <alignment horizontal="center"/>
    </xf>
    <xf numFmtId="0" fontId="4" fillId="17" borderId="1" xfId="0" applyFont="1" applyFill="1" applyBorder="1" applyAlignment="1">
      <alignment horizontal="center"/>
    </xf>
    <xf numFmtId="2" fontId="6" fillId="17" borderId="1" xfId="0" applyNumberFormat="1" applyFont="1" applyFill="1" applyBorder="1"/>
    <xf numFmtId="0" fontId="33" fillId="17" borderId="1" xfId="0" applyFont="1" applyFill="1" applyBorder="1" applyAlignment="1">
      <alignment horizontal="center"/>
    </xf>
    <xf numFmtId="0" fontId="21" fillId="17" borderId="0" xfId="0" applyFont="1" applyFill="1"/>
    <xf numFmtId="0" fontId="23" fillId="17" borderId="1" xfId="1" applyFont="1" applyFill="1" applyBorder="1" applyAlignment="1">
      <alignment horizontal="right"/>
    </xf>
    <xf numFmtId="164" fontId="4" fillId="17" borderId="1" xfId="0" applyNumberFormat="1" applyFont="1" applyFill="1" applyBorder="1" applyAlignment="1">
      <alignment horizontal="center"/>
    </xf>
    <xf numFmtId="0" fontId="20" fillId="17" borderId="1" xfId="1" applyFont="1" applyFill="1" applyBorder="1" applyAlignment="1">
      <alignment horizontal="right"/>
    </xf>
    <xf numFmtId="14" fontId="20" fillId="17" borderId="1" xfId="1" applyNumberFormat="1" applyFont="1" applyFill="1" applyBorder="1" applyAlignment="1">
      <alignment horizontal="right"/>
    </xf>
    <xf numFmtId="14" fontId="7" fillId="17" borderId="1" xfId="1" applyNumberFormat="1" applyFill="1" applyBorder="1"/>
    <xf numFmtId="0" fontId="8" fillId="17" borderId="1" xfId="1" applyFont="1" applyFill="1" applyBorder="1"/>
    <xf numFmtId="165" fontId="20" fillId="17" borderId="1" xfId="1" applyNumberFormat="1" applyFont="1" applyFill="1" applyBorder="1" applyAlignment="1">
      <alignment horizontal="right"/>
    </xf>
    <xf numFmtId="0" fontId="26" fillId="3" borderId="0" xfId="0" applyFont="1" applyFill="1"/>
    <xf numFmtId="0" fontId="28" fillId="3" borderId="0" xfId="0" applyFont="1" applyFill="1" applyAlignment="1">
      <alignment horizontal="center"/>
    </xf>
    <xf numFmtId="0" fontId="32" fillId="9" borderId="2" xfId="0" applyFont="1" applyFill="1" applyBorder="1" applyAlignment="1">
      <alignment horizontal="center"/>
    </xf>
    <xf numFmtId="164" fontId="2" fillId="12" borderId="1" xfId="0" applyNumberFormat="1" applyFont="1" applyFill="1" applyBorder="1"/>
    <xf numFmtId="0" fontId="32" fillId="16" borderId="2" xfId="0" applyFont="1" applyFill="1" applyBorder="1" applyAlignment="1">
      <alignment horizontal="center"/>
    </xf>
    <xf numFmtId="0" fontId="1" fillId="16" borderId="2" xfId="0" applyFont="1" applyFill="1" applyBorder="1" applyAlignment="1">
      <alignment horizontal="center"/>
    </xf>
    <xf numFmtId="165" fontId="20" fillId="3" borderId="6" xfId="1" applyNumberFormat="1" applyFont="1" applyFill="1" applyBorder="1" applyAlignment="1">
      <alignment horizontal="right"/>
    </xf>
    <xf numFmtId="0" fontId="36" fillId="3" borderId="1" xfId="0" applyFont="1" applyFill="1" applyBorder="1" applyAlignment="1">
      <alignment horizontal="center"/>
    </xf>
    <xf numFmtId="0" fontId="7" fillId="18" borderId="1" xfId="1" applyFill="1" applyBorder="1"/>
    <xf numFmtId="0" fontId="10" fillId="18" borderId="1" xfId="1" applyFont="1" applyFill="1" applyBorder="1" applyAlignment="1">
      <alignment horizontal="center"/>
    </xf>
    <xf numFmtId="14" fontId="7" fillId="18" borderId="1" xfId="1" applyNumberFormat="1" applyFill="1" applyBorder="1"/>
    <xf numFmtId="3" fontId="4" fillId="18" borderId="1" xfId="0" applyNumberFormat="1" applyFont="1" applyFill="1" applyBorder="1" applyAlignment="1">
      <alignment horizontal="center"/>
    </xf>
    <xf numFmtId="0" fontId="4" fillId="18" borderId="1" xfId="0" applyFont="1" applyFill="1" applyBorder="1" applyAlignment="1">
      <alignment horizontal="center"/>
    </xf>
    <xf numFmtId="2" fontId="6" fillId="18" borderId="1" xfId="0" applyNumberFormat="1" applyFont="1" applyFill="1" applyBorder="1"/>
    <xf numFmtId="0" fontId="33" fillId="18" borderId="1" xfId="0" applyFont="1" applyFill="1" applyBorder="1" applyAlignment="1">
      <alignment horizontal="center"/>
    </xf>
    <xf numFmtId="165" fontId="20" fillId="18" borderId="1" xfId="1" applyNumberFormat="1" applyFont="1" applyFill="1" applyBorder="1" applyAlignment="1">
      <alignment horizontal="right"/>
    </xf>
    <xf numFmtId="0" fontId="21" fillId="18" borderId="0" xfId="0" applyFont="1" applyFill="1"/>
    <xf numFmtId="0" fontId="22" fillId="18" borderId="0" xfId="0" applyFont="1" applyFill="1" applyAlignment="1">
      <alignment horizontal="center"/>
    </xf>
    <xf numFmtId="14" fontId="20" fillId="18" borderId="1" xfId="1" applyNumberFormat="1" applyFont="1" applyFill="1" applyBorder="1" applyAlignment="1">
      <alignment horizontal="right"/>
    </xf>
    <xf numFmtId="14" fontId="8" fillId="18" borderId="1" xfId="1" applyNumberFormat="1" applyFont="1" applyFill="1" applyBorder="1"/>
    <xf numFmtId="0" fontId="8" fillId="18" borderId="1" xfId="1" applyFont="1" applyFill="1" applyBorder="1"/>
    <xf numFmtId="0" fontId="1" fillId="2" borderId="5" xfId="0" applyFont="1" applyFill="1" applyBorder="1" applyAlignment="1">
      <alignment horizontal="center"/>
    </xf>
    <xf numFmtId="4" fontId="1" fillId="13" borderId="5" xfId="0" applyNumberFormat="1" applyFont="1" applyFill="1" applyBorder="1" applyAlignment="1">
      <alignment horizontal="center"/>
    </xf>
    <xf numFmtId="165" fontId="12" fillId="18" borderId="1" xfId="1" applyNumberFormat="1" applyFont="1" applyFill="1" applyBorder="1" applyAlignment="1">
      <alignment horizontal="right"/>
    </xf>
    <xf numFmtId="165" fontId="25" fillId="18" borderId="7" xfId="1" applyNumberFormat="1" applyFont="1" applyFill="1" applyBorder="1" applyAlignment="1">
      <alignment horizontal="right"/>
    </xf>
    <xf numFmtId="0" fontId="0" fillId="18" borderId="0" xfId="0" applyFill="1"/>
    <xf numFmtId="165" fontId="20" fillId="18" borderId="1" xfId="1" applyNumberFormat="1" applyFont="1" applyFill="1" applyBorder="1"/>
    <xf numFmtId="14" fontId="20" fillId="18" borderId="1" xfId="1" applyNumberFormat="1" applyFont="1" applyFill="1" applyBorder="1"/>
    <xf numFmtId="14" fontId="20" fillId="18" borderId="6" xfId="1" applyNumberFormat="1" applyFont="1" applyFill="1" applyBorder="1" applyAlignment="1">
      <alignment horizontal="right"/>
    </xf>
    <xf numFmtId="165" fontId="25" fillId="18" borderId="1" xfId="1" applyNumberFormat="1" applyFont="1" applyFill="1" applyBorder="1" applyAlignment="1">
      <alignment horizontal="right"/>
    </xf>
    <xf numFmtId="0" fontId="38" fillId="2" borderId="0" xfId="0" applyFont="1" applyFill="1"/>
    <xf numFmtId="0" fontId="20" fillId="3" borderId="1" xfId="1" applyFont="1" applyFill="1" applyBorder="1" applyAlignment="1">
      <alignment horizontal="right"/>
    </xf>
    <xf numFmtId="0" fontId="37" fillId="3" borderId="0" xfId="0" applyFont="1" applyFill="1" applyAlignment="1">
      <alignment horizontal="center"/>
    </xf>
    <xf numFmtId="165" fontId="25" fillId="3" borderId="7" xfId="1" applyNumberFormat="1" applyFont="1" applyFill="1" applyBorder="1" applyAlignment="1">
      <alignment horizontal="right"/>
    </xf>
    <xf numFmtId="165" fontId="20" fillId="17" borderId="1" xfId="1" applyNumberFormat="1" applyFont="1" applyFill="1" applyBorder="1"/>
    <xf numFmtId="0" fontId="32" fillId="12" borderId="0" xfId="0" applyFont="1" applyFill="1" applyAlignment="1">
      <alignment horizontal="center"/>
    </xf>
    <xf numFmtId="0" fontId="1" fillId="4" borderId="0" xfId="0" applyFont="1" applyFill="1" applyAlignment="1">
      <alignment horizontal="center"/>
    </xf>
    <xf numFmtId="0" fontId="1" fillId="8" borderId="0" xfId="0" applyFont="1" applyFill="1" applyAlignment="1">
      <alignment horizontal="center"/>
    </xf>
    <xf numFmtId="0" fontId="32" fillId="9" borderId="0" xfId="0" applyFont="1" applyFill="1" applyAlignment="1">
      <alignment horizontal="center"/>
    </xf>
    <xf numFmtId="0" fontId="27" fillId="13" borderId="2" xfId="0" applyFont="1" applyFill="1" applyBorder="1" applyAlignment="1">
      <alignment horizontal="center"/>
    </xf>
    <xf numFmtId="0" fontId="27" fillId="8" borderId="2" xfId="0" applyFont="1" applyFill="1" applyBorder="1" applyAlignment="1">
      <alignment horizontal="center"/>
    </xf>
    <xf numFmtId="0" fontId="1" fillId="13" borderId="3" xfId="0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13" borderId="4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164" fontId="35" fillId="16" borderId="1" xfId="0" applyNumberFormat="1" applyFont="1" applyFill="1" applyBorder="1"/>
    <xf numFmtId="164" fontId="4" fillId="18" borderId="1" xfId="0" applyNumberFormat="1" applyFont="1" applyFill="1" applyBorder="1" applyAlignment="1">
      <alignment horizontal="center"/>
    </xf>
    <xf numFmtId="0" fontId="1" fillId="17" borderId="2" xfId="0" applyFont="1" applyFill="1" applyBorder="1" applyAlignment="1">
      <alignment horizontal="center"/>
    </xf>
    <xf numFmtId="164" fontId="35" fillId="17" borderId="1" xfId="0" applyNumberFormat="1" applyFont="1" applyFill="1" applyBorder="1"/>
    <xf numFmtId="0" fontId="12" fillId="19" borderId="1" xfId="1" applyFont="1" applyFill="1" applyBorder="1"/>
    <xf numFmtId="0" fontId="10" fillId="19" borderId="1" xfId="1" applyFont="1" applyFill="1" applyBorder="1" applyAlignment="1">
      <alignment horizontal="center"/>
    </xf>
    <xf numFmtId="14" fontId="12" fillId="19" borderId="1" xfId="1" applyNumberFormat="1" applyFont="1" applyFill="1" applyBorder="1"/>
    <xf numFmtId="3" fontId="15" fillId="19" borderId="1" xfId="0" applyNumberFormat="1" applyFont="1" applyFill="1" applyBorder="1" applyAlignment="1">
      <alignment horizontal="center"/>
    </xf>
    <xf numFmtId="0" fontId="15" fillId="19" borderId="1" xfId="0" applyFont="1" applyFill="1" applyBorder="1" applyAlignment="1">
      <alignment horizontal="center"/>
    </xf>
    <xf numFmtId="0" fontId="4" fillId="19" borderId="1" xfId="0" applyFont="1" applyFill="1" applyBorder="1" applyAlignment="1">
      <alignment horizontal="center"/>
    </xf>
    <xf numFmtId="2" fontId="6" fillId="19" borderId="1" xfId="0" applyNumberFormat="1" applyFont="1" applyFill="1" applyBorder="1"/>
    <xf numFmtId="0" fontId="33" fillId="19" borderId="1" xfId="0" applyFont="1" applyFill="1" applyBorder="1" applyAlignment="1">
      <alignment horizontal="center"/>
    </xf>
    <xf numFmtId="165" fontId="20" fillId="19" borderId="1" xfId="1" applyNumberFormat="1" applyFont="1" applyFill="1" applyBorder="1"/>
    <xf numFmtId="0" fontId="21" fillId="19" borderId="0" xfId="0" applyFont="1" applyFill="1"/>
    <xf numFmtId="0" fontId="22" fillId="19" borderId="0" xfId="0" applyFont="1" applyFill="1" applyAlignment="1">
      <alignment horizontal="center"/>
    </xf>
    <xf numFmtId="0" fontId="7" fillId="19" borderId="1" xfId="1" applyFill="1" applyBorder="1"/>
    <xf numFmtId="14" fontId="7" fillId="19" borderId="1" xfId="1" applyNumberFormat="1" applyFill="1" applyBorder="1"/>
    <xf numFmtId="3" fontId="4" fillId="19" borderId="1" xfId="0" applyNumberFormat="1" applyFont="1" applyFill="1" applyBorder="1" applyAlignment="1">
      <alignment horizontal="center"/>
    </xf>
    <xf numFmtId="14" fontId="20" fillId="19" borderId="1" xfId="1" applyNumberFormat="1" applyFont="1" applyFill="1" applyBorder="1" applyAlignment="1">
      <alignment horizontal="right"/>
    </xf>
    <xf numFmtId="14" fontId="8" fillId="19" borderId="1" xfId="1" applyNumberFormat="1" applyFont="1" applyFill="1" applyBorder="1"/>
    <xf numFmtId="14" fontId="20" fillId="19" borderId="6" xfId="1" applyNumberFormat="1" applyFont="1" applyFill="1" applyBorder="1" applyAlignment="1">
      <alignment horizontal="right"/>
    </xf>
    <xf numFmtId="0" fontId="8" fillId="19" borderId="1" xfId="1" applyFont="1" applyFill="1" applyBorder="1"/>
    <xf numFmtId="165" fontId="20" fillId="19" borderId="1" xfId="1" applyNumberFormat="1" applyFont="1" applyFill="1" applyBorder="1" applyAlignment="1">
      <alignment horizontal="right"/>
    </xf>
    <xf numFmtId="0" fontId="27" fillId="2" borderId="2" xfId="0" applyFont="1" applyFill="1" applyBorder="1" applyAlignment="1">
      <alignment horizontal="center"/>
    </xf>
    <xf numFmtId="164" fontId="35" fillId="2" borderId="1" xfId="0" applyNumberFormat="1" applyFont="1" applyFill="1" applyBorder="1"/>
    <xf numFmtId="164" fontId="1" fillId="2" borderId="5" xfId="0" applyNumberFormat="1" applyFont="1" applyFill="1" applyBorder="1" applyAlignment="1">
      <alignment horizontal="center"/>
    </xf>
    <xf numFmtId="0" fontId="38" fillId="3" borderId="0" xfId="0" applyFont="1" applyFill="1"/>
    <xf numFmtId="14" fontId="20" fillId="19" borderId="1" xfId="1" applyNumberFormat="1" applyFont="1" applyFill="1" applyBorder="1"/>
    <xf numFmtId="14" fontId="37" fillId="18" borderId="0" xfId="0" applyNumberFormat="1" applyFont="1" applyFill="1" applyAlignment="1">
      <alignment horizontal="center"/>
    </xf>
    <xf numFmtId="0" fontId="27" fillId="2" borderId="0" xfId="0" applyFont="1" applyFill="1" applyAlignment="1">
      <alignment horizontal="center"/>
    </xf>
    <xf numFmtId="0" fontId="7" fillId="2" borderId="1" xfId="1" applyFill="1" applyBorder="1"/>
    <xf numFmtId="0" fontId="10" fillId="2" borderId="1" xfId="1" applyFont="1" applyFill="1" applyBorder="1" applyAlignment="1">
      <alignment horizontal="center"/>
    </xf>
    <xf numFmtId="14" fontId="7" fillId="2" borderId="1" xfId="1" applyNumberFormat="1" applyFill="1" applyBorder="1"/>
    <xf numFmtId="3" fontId="4" fillId="2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2" fontId="6" fillId="2" borderId="1" xfId="0" applyNumberFormat="1" applyFont="1" applyFill="1" applyBorder="1"/>
    <xf numFmtId="0" fontId="33" fillId="2" borderId="1" xfId="0" applyFont="1" applyFill="1" applyBorder="1" applyAlignment="1">
      <alignment horizontal="center"/>
    </xf>
    <xf numFmtId="0" fontId="0" fillId="2" borderId="0" xfId="0" applyFill="1"/>
    <xf numFmtId="0" fontId="22" fillId="2" borderId="0" xfId="0" applyFont="1" applyFill="1" applyAlignment="1">
      <alignment horizontal="center"/>
    </xf>
    <xf numFmtId="14" fontId="8" fillId="2" borderId="1" xfId="1" applyNumberFormat="1" applyFont="1" applyFill="1" applyBorder="1"/>
    <xf numFmtId="0" fontId="21" fillId="2" borderId="0" xfId="0" applyFont="1" applyFill="1"/>
    <xf numFmtId="0" fontId="1" fillId="14" borderId="2" xfId="0" applyFont="1" applyFill="1" applyBorder="1" applyAlignment="1">
      <alignment horizontal="center"/>
    </xf>
    <xf numFmtId="164" fontId="35" fillId="14" borderId="1" xfId="0" applyNumberFormat="1" applyFont="1" applyFill="1" applyBorder="1"/>
    <xf numFmtId="14" fontId="20" fillId="19" borderId="0" xfId="1" applyNumberFormat="1" applyFont="1" applyFill="1" applyAlignment="1">
      <alignment horizontal="right"/>
    </xf>
    <xf numFmtId="0" fontId="27" fillId="3" borderId="0" xfId="0" applyFont="1" applyFill="1" applyAlignment="1">
      <alignment horizontal="center"/>
    </xf>
    <xf numFmtId="165" fontId="25" fillId="19" borderId="7" xfId="1" applyNumberFormat="1" applyFont="1" applyFill="1" applyBorder="1" applyAlignment="1">
      <alignment horizontal="right"/>
    </xf>
    <xf numFmtId="0" fontId="0" fillId="19" borderId="0" xfId="0" applyFill="1"/>
    <xf numFmtId="164" fontId="4" fillId="19" borderId="1" xfId="0" applyNumberFormat="1" applyFont="1" applyFill="1" applyBorder="1" applyAlignment="1">
      <alignment horizontal="center"/>
    </xf>
    <xf numFmtId="14" fontId="20" fillId="2" borderId="1" xfId="1" applyNumberFormat="1" applyFont="1" applyFill="1" applyBorder="1" applyAlignment="1">
      <alignment horizontal="right"/>
    </xf>
    <xf numFmtId="0" fontId="8" fillId="2" borderId="1" xfId="1" applyFont="1" applyFill="1" applyBorder="1"/>
    <xf numFmtId="0" fontId="39" fillId="20" borderId="0" xfId="0" applyFont="1" applyFill="1" applyAlignment="1">
      <alignment horizontal="center"/>
    </xf>
    <xf numFmtId="0" fontId="1" fillId="16" borderId="0" xfId="0" applyFont="1" applyFill="1" applyAlignment="1">
      <alignment horizontal="center"/>
    </xf>
    <xf numFmtId="0" fontId="1" fillId="17" borderId="0" xfId="0" applyFont="1" applyFill="1" applyAlignment="1">
      <alignment horizontal="center"/>
    </xf>
    <xf numFmtId="0" fontId="1" fillId="14" borderId="0" xfId="0" applyFont="1" applyFill="1" applyAlignment="1">
      <alignment horizontal="center"/>
    </xf>
    <xf numFmtId="0" fontId="27" fillId="16" borderId="2" xfId="0" applyFont="1" applyFill="1" applyBorder="1" applyAlignment="1">
      <alignment horizontal="center"/>
    </xf>
    <xf numFmtId="0" fontId="1" fillId="13" borderId="10" xfId="0" applyFont="1" applyFill="1" applyBorder="1" applyAlignment="1">
      <alignment horizontal="center"/>
    </xf>
    <xf numFmtId="0" fontId="32" fillId="2" borderId="1" xfId="0" applyFont="1" applyFill="1" applyBorder="1"/>
    <xf numFmtId="0" fontId="32" fillId="2" borderId="16" xfId="0" applyFont="1" applyFill="1" applyBorder="1"/>
    <xf numFmtId="0" fontId="32" fillId="2" borderId="17" xfId="0" applyFont="1" applyFill="1" applyBorder="1" applyAlignment="1">
      <alignment horizontal="center"/>
    </xf>
    <xf numFmtId="0" fontId="32" fillId="2" borderId="18" xfId="0" applyFont="1" applyFill="1" applyBorder="1" applyAlignment="1">
      <alignment horizontal="center"/>
    </xf>
    <xf numFmtId="0" fontId="32" fillId="2" borderId="19" xfId="0" applyFont="1" applyFill="1" applyBorder="1" applyAlignment="1">
      <alignment horizontal="center"/>
    </xf>
    <xf numFmtId="0" fontId="43" fillId="8" borderId="0" xfId="0" applyFont="1" applyFill="1" applyAlignment="1">
      <alignment horizontal="center"/>
    </xf>
    <xf numFmtId="0" fontId="44" fillId="2" borderId="0" xfId="0" applyFont="1" applyFill="1"/>
    <xf numFmtId="14" fontId="20" fillId="2" borderId="0" xfId="0" applyNumberFormat="1" applyFont="1" applyFill="1" applyAlignment="1">
      <alignment horizontal="right"/>
    </xf>
    <xf numFmtId="0" fontId="27" fillId="6" borderId="8" xfId="0" applyFont="1" applyFill="1" applyBorder="1" applyAlignment="1">
      <alignment horizontal="center"/>
    </xf>
    <xf numFmtId="0" fontId="27" fillId="6" borderId="9" xfId="0" applyFont="1" applyFill="1" applyBorder="1" applyAlignment="1">
      <alignment horizontal="center"/>
    </xf>
    <xf numFmtId="0" fontId="27" fillId="6" borderId="5" xfId="0" applyFont="1" applyFill="1" applyBorder="1" applyAlignment="1">
      <alignment horizontal="center"/>
    </xf>
    <xf numFmtId="0" fontId="27" fillId="16" borderId="8" xfId="0" applyFont="1" applyFill="1" applyBorder="1" applyAlignment="1">
      <alignment horizontal="center"/>
    </xf>
    <xf numFmtId="0" fontId="27" fillId="16" borderId="9" xfId="0" applyFont="1" applyFill="1" applyBorder="1" applyAlignment="1">
      <alignment horizontal="center"/>
    </xf>
    <xf numFmtId="0" fontId="27" fillId="16" borderId="5" xfId="0" applyFont="1" applyFill="1" applyBorder="1" applyAlignment="1">
      <alignment horizontal="center"/>
    </xf>
    <xf numFmtId="0" fontId="1" fillId="6" borderId="10" xfId="0" applyFont="1" applyFill="1" applyBorder="1" applyAlignment="1">
      <alignment horizontal="center"/>
    </xf>
    <xf numFmtId="0" fontId="1" fillId="6" borderId="11" xfId="0" applyFont="1" applyFill="1" applyBorder="1" applyAlignment="1">
      <alignment horizontal="center"/>
    </xf>
    <xf numFmtId="0" fontId="1" fillId="6" borderId="12" xfId="0" applyFont="1" applyFill="1" applyBorder="1" applyAlignment="1">
      <alignment horizontal="center"/>
    </xf>
    <xf numFmtId="0" fontId="1" fillId="16" borderId="10" xfId="0" applyFont="1" applyFill="1" applyBorder="1" applyAlignment="1">
      <alignment horizontal="center"/>
    </xf>
    <xf numFmtId="0" fontId="1" fillId="16" borderId="11" xfId="0" applyFont="1" applyFill="1" applyBorder="1" applyAlignment="1">
      <alignment horizontal="center"/>
    </xf>
    <xf numFmtId="0" fontId="1" fillId="16" borderId="12" xfId="0" applyFont="1" applyFill="1" applyBorder="1" applyAlignment="1">
      <alignment horizontal="center"/>
    </xf>
    <xf numFmtId="0" fontId="1" fillId="6" borderId="13" xfId="0" applyFont="1" applyFill="1" applyBorder="1" applyAlignment="1">
      <alignment horizontal="center"/>
    </xf>
    <xf numFmtId="0" fontId="1" fillId="6" borderId="14" xfId="0" applyFont="1" applyFill="1" applyBorder="1" applyAlignment="1">
      <alignment horizontal="center"/>
    </xf>
    <xf numFmtId="0" fontId="1" fillId="6" borderId="15" xfId="0" applyFont="1" applyFill="1" applyBorder="1" applyAlignment="1">
      <alignment horizontal="center"/>
    </xf>
    <xf numFmtId="0" fontId="1" fillId="16" borderId="13" xfId="0" applyFont="1" applyFill="1" applyBorder="1" applyAlignment="1">
      <alignment horizontal="center"/>
    </xf>
    <xf numFmtId="0" fontId="1" fillId="16" borderId="14" xfId="0" applyFont="1" applyFill="1" applyBorder="1" applyAlignment="1">
      <alignment horizontal="center"/>
    </xf>
    <xf numFmtId="0" fontId="1" fillId="16" borderId="15" xfId="0" applyFont="1" applyFill="1" applyBorder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4">
    <tabColor theme="6" tint="-0.499984740745262"/>
  </sheetPr>
  <dimension ref="A1:BR407"/>
  <sheetViews>
    <sheetView tabSelected="1" zoomScale="80" zoomScaleNormal="80" workbookViewId="0">
      <pane xSplit="4" ySplit="8" topLeftCell="E9" activePane="bottomRight" state="frozen"/>
      <selection pane="topRight" activeCell="F1" sqref="F1"/>
      <selection pane="bottomLeft" activeCell="A9" sqref="A9"/>
      <selection pane="bottomRight" activeCell="D6" sqref="D6"/>
    </sheetView>
  </sheetViews>
  <sheetFormatPr baseColWidth="10" defaultRowHeight="14.4" x14ac:dyDescent="0.3"/>
  <cols>
    <col min="1" max="1" width="6.88671875" bestFit="1" customWidth="1"/>
    <col min="2" max="2" width="35.88671875" bestFit="1" customWidth="1"/>
    <col min="3" max="3" width="10.6640625" bestFit="1" customWidth="1"/>
    <col min="4" max="4" width="11.33203125" bestFit="1" customWidth="1"/>
    <col min="5" max="5" width="22.44140625" bestFit="1" customWidth="1"/>
    <col min="6" max="6" width="19.109375" bestFit="1" customWidth="1"/>
    <col min="7" max="7" width="27.6640625" bestFit="1" customWidth="1"/>
    <col min="8" max="8" width="13.5546875" bestFit="1" customWidth="1"/>
    <col min="9" max="9" width="21.33203125" bestFit="1" customWidth="1"/>
    <col min="10" max="10" width="4.33203125" bestFit="1" customWidth="1"/>
    <col min="11" max="11" width="27.44140625" bestFit="1" customWidth="1"/>
    <col min="12" max="12" width="20.5546875" bestFit="1" customWidth="1"/>
    <col min="13" max="13" width="4.5546875" customWidth="1"/>
    <col min="14" max="14" width="14.6640625" bestFit="1" customWidth="1"/>
    <col min="15" max="18" width="14.6640625" customWidth="1"/>
    <col min="19" max="21" width="13.44140625" customWidth="1"/>
    <col min="22" max="22" width="6.21875" bestFit="1" customWidth="1"/>
    <col min="23" max="23" width="39" bestFit="1" customWidth="1"/>
    <col min="24" max="24" width="26.33203125" customWidth="1"/>
    <col min="25" max="25" width="28.88671875" customWidth="1"/>
    <col min="26" max="28" width="29.44140625" customWidth="1"/>
    <col min="29" max="29" width="16.5546875" customWidth="1"/>
    <col min="30" max="30" width="12.33203125" bestFit="1" customWidth="1"/>
    <col min="31" max="31" width="22.88671875" bestFit="1" customWidth="1"/>
    <col min="32" max="32" width="18.33203125" bestFit="1" customWidth="1"/>
    <col min="33" max="33" width="18.21875" bestFit="1" customWidth="1"/>
    <col min="34" max="34" width="12.33203125" bestFit="1" customWidth="1"/>
    <col min="35" max="35" width="22.88671875" bestFit="1" customWidth="1"/>
    <col min="36" max="36" width="27.109375" bestFit="1" customWidth="1"/>
    <col min="37" max="37" width="18.21875" bestFit="1" customWidth="1"/>
    <col min="38" max="38" width="12.33203125" bestFit="1" customWidth="1"/>
    <col min="39" max="39" width="22.88671875" bestFit="1" customWidth="1"/>
    <col min="40" max="40" width="28.44140625" bestFit="1" customWidth="1"/>
    <col min="41" max="41" width="18.21875" bestFit="1" customWidth="1"/>
    <col min="42" max="42" width="12.33203125" bestFit="1" customWidth="1"/>
    <col min="43" max="43" width="23.33203125" bestFit="1" customWidth="1"/>
    <col min="44" max="44" width="28.44140625" bestFit="1" customWidth="1"/>
    <col min="45" max="45" width="18.21875" bestFit="1" customWidth="1"/>
    <col min="46" max="46" width="12.33203125" customWidth="1"/>
    <col min="47" max="47" width="39" bestFit="1" customWidth="1"/>
    <col min="48" max="48" width="28.44140625" bestFit="1" customWidth="1"/>
    <col min="49" max="49" width="18.21875" bestFit="1" customWidth="1"/>
    <col min="50" max="50" width="12.33203125" customWidth="1"/>
    <col min="51" max="51" width="39" bestFit="1" customWidth="1"/>
    <col min="52" max="52" width="25.6640625" bestFit="1" customWidth="1"/>
    <col min="53" max="53" width="18.21875" bestFit="1" customWidth="1"/>
    <col min="54" max="67" width="12.33203125" customWidth="1"/>
    <col min="68" max="68" width="18.21875" bestFit="1" customWidth="1"/>
    <col min="69" max="69" width="12.33203125" customWidth="1"/>
    <col min="70" max="70" width="15.44140625" bestFit="1" customWidth="1"/>
  </cols>
  <sheetData>
    <row r="1" spans="1:70" ht="17.399999999999999" x14ac:dyDescent="0.3">
      <c r="B1" s="33" t="s">
        <v>1</v>
      </c>
      <c r="C1" s="35">
        <v>533.33000000000004</v>
      </c>
    </row>
    <row r="2" spans="1:70" ht="18" x14ac:dyDescent="0.35">
      <c r="B2" s="34">
        <f ca="1">TODAY()</f>
        <v>45987</v>
      </c>
    </row>
    <row r="3" spans="1:70" x14ac:dyDescent="0.3">
      <c r="W3">
        <f>1438+150</f>
        <v>1588</v>
      </c>
    </row>
    <row r="4" spans="1:70" ht="15" thickBot="1" x14ac:dyDescent="0.35"/>
    <row r="5" spans="1:70" ht="21.6" thickBot="1" x14ac:dyDescent="0.55000000000000004">
      <c r="D5" t="s">
        <v>212</v>
      </c>
      <c r="X5" s="43" t="s">
        <v>234</v>
      </c>
      <c r="Y5" s="43" t="s">
        <v>213</v>
      </c>
      <c r="Z5" s="44" t="s">
        <v>223</v>
      </c>
      <c r="AA5" s="44" t="s">
        <v>236</v>
      </c>
      <c r="AB5" s="44" t="s">
        <v>269</v>
      </c>
      <c r="AE5" s="58" t="s">
        <v>313</v>
      </c>
      <c r="AF5" s="58" t="s">
        <v>314</v>
      </c>
      <c r="AG5" s="44"/>
      <c r="AI5" s="49" t="s">
        <v>322</v>
      </c>
      <c r="AJ5" s="49" t="s">
        <v>335</v>
      </c>
      <c r="AK5" s="44" t="s">
        <v>227</v>
      </c>
      <c r="AM5" s="71" t="s">
        <v>347</v>
      </c>
      <c r="AN5" s="71" t="s">
        <v>348</v>
      </c>
      <c r="AO5" s="44" t="s">
        <v>227</v>
      </c>
      <c r="AQ5" s="71" t="s">
        <v>347</v>
      </c>
      <c r="AR5" s="71" t="s">
        <v>413</v>
      </c>
      <c r="AS5" s="44" t="s">
        <v>227</v>
      </c>
      <c r="AU5" s="71" t="s">
        <v>414</v>
      </c>
      <c r="AV5" s="71" t="s">
        <v>415</v>
      </c>
      <c r="AW5" s="44" t="s">
        <v>227</v>
      </c>
      <c r="AY5" s="143" t="s">
        <v>414</v>
      </c>
      <c r="AZ5" s="143" t="s">
        <v>415</v>
      </c>
      <c r="BA5" s="28"/>
      <c r="BD5" s="57" t="s">
        <v>500</v>
      </c>
      <c r="BE5" s="57" t="s">
        <v>501</v>
      </c>
      <c r="BF5" s="57" t="s">
        <v>502</v>
      </c>
      <c r="BG5" s="57" t="s">
        <v>503</v>
      </c>
      <c r="BH5" s="205" t="s">
        <v>504</v>
      </c>
      <c r="BI5" s="205" t="s">
        <v>505</v>
      </c>
      <c r="BJ5" s="205" t="s">
        <v>506</v>
      </c>
      <c r="BK5" s="205" t="s">
        <v>507</v>
      </c>
      <c r="BL5" s="205" t="s">
        <v>508</v>
      </c>
      <c r="BM5" s="205" t="s">
        <v>509</v>
      </c>
      <c r="BN5" s="205" t="s">
        <v>510</v>
      </c>
      <c r="BO5" s="205" t="s">
        <v>511</v>
      </c>
    </row>
    <row r="6" spans="1:70" ht="21.6" thickBot="1" x14ac:dyDescent="0.55000000000000004">
      <c r="B6" s="36" t="s">
        <v>28</v>
      </c>
      <c r="C6" t="s">
        <v>207</v>
      </c>
      <c r="D6" t="s">
        <v>227</v>
      </c>
      <c r="E6" t="s">
        <v>207</v>
      </c>
      <c r="X6" s="44" t="s">
        <v>4</v>
      </c>
      <c r="Y6" s="44" t="s">
        <v>4</v>
      </c>
      <c r="Z6" s="44" t="s">
        <v>4</v>
      </c>
      <c r="AA6" s="44" t="s">
        <v>4</v>
      </c>
      <c r="AB6" s="44" t="s">
        <v>4</v>
      </c>
      <c r="AE6" s="27"/>
      <c r="AF6" s="27"/>
      <c r="AG6" s="57">
        <v>2020</v>
      </c>
      <c r="AI6" s="49"/>
      <c r="AJ6" s="49"/>
      <c r="AK6" s="57">
        <v>2021</v>
      </c>
      <c r="AM6" s="71">
        <v>2022</v>
      </c>
      <c r="AN6" s="71">
        <v>2022</v>
      </c>
      <c r="AO6" s="57">
        <v>2022</v>
      </c>
      <c r="AQ6" s="71">
        <v>2023</v>
      </c>
      <c r="AR6" s="71">
        <v>2023</v>
      </c>
      <c r="AS6" s="57">
        <v>2023</v>
      </c>
      <c r="AU6" s="71">
        <v>2023</v>
      </c>
      <c r="AV6" s="71">
        <v>2024</v>
      </c>
      <c r="AW6" s="57">
        <v>2024</v>
      </c>
      <c r="AY6" s="143">
        <v>2024</v>
      </c>
      <c r="AZ6" s="143">
        <v>2025</v>
      </c>
      <c r="BA6" s="144">
        <v>2024</v>
      </c>
      <c r="BD6" s="215">
        <v>2025</v>
      </c>
      <c r="BE6" s="216"/>
      <c r="BF6" s="216"/>
      <c r="BG6" s="217"/>
      <c r="BH6" s="218">
        <v>2026</v>
      </c>
      <c r="BI6" s="219"/>
      <c r="BJ6" s="219"/>
      <c r="BK6" s="219"/>
      <c r="BL6" s="219"/>
      <c r="BM6" s="219"/>
      <c r="BN6" s="219"/>
      <c r="BO6" s="220"/>
    </row>
    <row r="7" spans="1:70" ht="18.600000000000001" thickBot="1" x14ac:dyDescent="0.4">
      <c r="X7" s="45" t="s">
        <v>5</v>
      </c>
      <c r="Y7" s="45" t="s">
        <v>5</v>
      </c>
      <c r="Z7" s="45" t="s">
        <v>5</v>
      </c>
      <c r="AA7" s="45" t="s">
        <v>5</v>
      </c>
      <c r="AB7" s="45" t="s">
        <v>5</v>
      </c>
      <c r="AC7" s="45" t="s">
        <v>3</v>
      </c>
      <c r="AD7" s="45" t="s">
        <v>5</v>
      </c>
      <c r="AE7" s="29" t="s">
        <v>6</v>
      </c>
      <c r="AF7" s="29" t="s">
        <v>6</v>
      </c>
      <c r="AG7" s="45" t="s">
        <v>5</v>
      </c>
      <c r="AH7" s="45" t="s">
        <v>5</v>
      </c>
      <c r="AI7" s="53" t="s">
        <v>6</v>
      </c>
      <c r="AJ7" s="53" t="s">
        <v>6</v>
      </c>
      <c r="AK7" s="45" t="s">
        <v>5</v>
      </c>
      <c r="AL7" s="24" t="s">
        <v>5</v>
      </c>
      <c r="AM7" s="53" t="s">
        <v>6</v>
      </c>
      <c r="AN7" s="53" t="s">
        <v>6</v>
      </c>
      <c r="AO7" s="45" t="s">
        <v>5</v>
      </c>
      <c r="AP7" s="24" t="s">
        <v>5</v>
      </c>
      <c r="AQ7" s="53" t="s">
        <v>6</v>
      </c>
      <c r="AR7" s="53" t="s">
        <v>6</v>
      </c>
      <c r="AS7" s="45" t="s">
        <v>5</v>
      </c>
      <c r="AT7" s="24" t="s">
        <v>5</v>
      </c>
      <c r="AU7" s="53" t="s">
        <v>6</v>
      </c>
      <c r="AV7" s="53" t="s">
        <v>6</v>
      </c>
      <c r="AW7" s="45" t="s">
        <v>5</v>
      </c>
      <c r="AX7" s="24" t="s">
        <v>5</v>
      </c>
      <c r="AY7" s="145" t="s">
        <v>6</v>
      </c>
      <c r="AZ7" s="145" t="s">
        <v>6</v>
      </c>
      <c r="BA7" s="146" t="s">
        <v>5</v>
      </c>
      <c r="BB7" s="147" t="s">
        <v>5</v>
      </c>
      <c r="BD7" s="221" t="s">
        <v>6</v>
      </c>
      <c r="BE7" s="222"/>
      <c r="BF7" s="222"/>
      <c r="BG7" s="223"/>
      <c r="BH7" s="224" t="s">
        <v>6</v>
      </c>
      <c r="BI7" s="225"/>
      <c r="BJ7" s="225"/>
      <c r="BK7" s="225"/>
      <c r="BL7" s="225"/>
      <c r="BM7" s="225"/>
      <c r="BN7" s="225"/>
      <c r="BO7" s="226"/>
      <c r="BP7" s="206" t="s">
        <v>5</v>
      </c>
      <c r="BQ7" s="147" t="s">
        <v>5</v>
      </c>
    </row>
    <row r="8" spans="1:70" ht="18.600000000000001" thickBot="1" x14ac:dyDescent="0.4">
      <c r="B8" s="23" t="s">
        <v>2</v>
      </c>
      <c r="C8" s="23" t="s">
        <v>18</v>
      </c>
      <c r="D8" s="23" t="s">
        <v>17</v>
      </c>
      <c r="E8" s="23" t="s">
        <v>0</v>
      </c>
      <c r="F8" s="23" t="s">
        <v>204</v>
      </c>
      <c r="G8" s="23" t="s">
        <v>205</v>
      </c>
      <c r="H8" s="23" t="s">
        <v>3</v>
      </c>
      <c r="I8" s="23" t="s">
        <v>7</v>
      </c>
      <c r="L8" s="23" t="s">
        <v>27</v>
      </c>
      <c r="X8" s="46" t="s">
        <v>6</v>
      </c>
      <c r="Y8" s="46" t="s">
        <v>6</v>
      </c>
      <c r="Z8" s="46" t="s">
        <v>6</v>
      </c>
      <c r="AA8" s="46" t="s">
        <v>6</v>
      </c>
      <c r="AB8" s="46" t="s">
        <v>6</v>
      </c>
      <c r="AC8" s="46" t="s">
        <v>280</v>
      </c>
      <c r="AD8" s="46" t="s">
        <v>270</v>
      </c>
      <c r="AE8" s="30" t="s">
        <v>271</v>
      </c>
      <c r="AF8" s="30" t="s">
        <v>271</v>
      </c>
      <c r="AG8" s="46" t="s">
        <v>6</v>
      </c>
      <c r="AH8" s="46" t="s">
        <v>270</v>
      </c>
      <c r="AI8" s="54" t="s">
        <v>271</v>
      </c>
      <c r="AJ8" s="54" t="s">
        <v>271</v>
      </c>
      <c r="AK8" s="46" t="s">
        <v>6</v>
      </c>
      <c r="AL8" s="25" t="s">
        <v>270</v>
      </c>
      <c r="AM8" s="54" t="s">
        <v>271</v>
      </c>
      <c r="AN8" s="54" t="s">
        <v>271</v>
      </c>
      <c r="AO8" s="46" t="s">
        <v>6</v>
      </c>
      <c r="AP8" s="25" t="s">
        <v>270</v>
      </c>
      <c r="AQ8" s="54" t="s">
        <v>271</v>
      </c>
      <c r="AR8" s="54" t="s">
        <v>271</v>
      </c>
      <c r="AS8" s="46" t="s">
        <v>6</v>
      </c>
      <c r="AT8" s="25" t="s">
        <v>270</v>
      </c>
      <c r="AU8" s="54" t="s">
        <v>271</v>
      </c>
      <c r="AV8" s="54" t="s">
        <v>271</v>
      </c>
      <c r="AW8" s="46" t="s">
        <v>6</v>
      </c>
      <c r="AX8" s="25" t="s">
        <v>270</v>
      </c>
      <c r="AY8" s="148" t="s">
        <v>271</v>
      </c>
      <c r="AZ8" s="148" t="s">
        <v>271</v>
      </c>
      <c r="BA8" s="149" t="s">
        <v>6</v>
      </c>
      <c r="BB8" s="150" t="s">
        <v>270</v>
      </c>
      <c r="BD8" s="227" t="s">
        <v>271</v>
      </c>
      <c r="BE8" s="228"/>
      <c r="BF8" s="228"/>
      <c r="BG8" s="229"/>
      <c r="BH8" s="230" t="s">
        <v>271</v>
      </c>
      <c r="BI8" s="231"/>
      <c r="BJ8" s="231"/>
      <c r="BK8" s="231"/>
      <c r="BL8" s="231"/>
      <c r="BM8" s="231"/>
      <c r="BN8" s="231"/>
      <c r="BO8" s="232"/>
      <c r="BP8" s="206" t="s">
        <v>6</v>
      </c>
      <c r="BQ8" s="147" t="s">
        <v>270</v>
      </c>
    </row>
    <row r="9" spans="1:70" ht="25.8" thickBot="1" x14ac:dyDescent="0.65">
      <c r="A9" s="64">
        <v>1</v>
      </c>
      <c r="B9" s="166" t="s">
        <v>523</v>
      </c>
      <c r="C9" s="156" t="s">
        <v>19</v>
      </c>
      <c r="D9" s="167">
        <v>45792</v>
      </c>
      <c r="E9" s="168">
        <v>0</v>
      </c>
      <c r="F9" s="160">
        <f t="shared" ref="F9:F15" si="0">+E9*$C$1</f>
        <v>0</v>
      </c>
      <c r="G9" s="160">
        <f t="shared" ref="G9" si="1">+BR9</f>
        <v>0</v>
      </c>
      <c r="H9" s="161">
        <f t="shared" ref="H9" si="2">+F9+G9</f>
        <v>0</v>
      </c>
      <c r="I9" s="162">
        <v>15</v>
      </c>
      <c r="J9" s="88">
        <v>15</v>
      </c>
      <c r="L9" s="178">
        <v>46522</v>
      </c>
      <c r="M9" s="164"/>
      <c r="N9" s="165" t="str">
        <f t="shared" ref="N9:N13" ca="1" si="3">IF($B$2&lt;L9,"O.K.","A L E R T A ")</f>
        <v>O.K.</v>
      </c>
      <c r="W9" s="1" t="s">
        <v>487</v>
      </c>
      <c r="X9" s="50"/>
      <c r="Y9" s="48"/>
      <c r="Z9" s="49"/>
      <c r="AA9" s="49"/>
      <c r="AB9" s="49"/>
      <c r="AC9" s="31"/>
      <c r="AD9" s="28"/>
      <c r="AE9" s="52"/>
      <c r="AF9" s="52"/>
      <c r="AG9" s="49"/>
      <c r="AH9" s="22"/>
      <c r="AI9" s="52"/>
      <c r="AJ9" s="52"/>
      <c r="AK9" s="49"/>
      <c r="AL9" s="69"/>
      <c r="AM9" s="52"/>
      <c r="AN9" s="52"/>
      <c r="AO9" s="85"/>
      <c r="AP9" s="84"/>
      <c r="AQ9" s="76"/>
      <c r="AR9" s="76"/>
      <c r="AS9" s="74"/>
      <c r="AT9" s="84"/>
      <c r="AU9" s="73"/>
      <c r="AV9" s="73"/>
      <c r="AW9" s="73"/>
      <c r="AX9" s="73"/>
      <c r="AY9" s="109">
        <f>+(0)+(0)+(0)+(0)</f>
        <v>0</v>
      </c>
      <c r="AZ9" s="109">
        <f t="shared" ref="AZ9:AZ403" si="4">+(0)+(0)+(0)+(0)+(0)+(0)+(0)+(0)</f>
        <v>0</v>
      </c>
      <c r="BA9" s="61">
        <v>0</v>
      </c>
      <c r="BB9" s="61">
        <f t="shared" ref="BB9" si="5">(AX9+AY9+AZ9)-BA9</f>
        <v>0</v>
      </c>
      <c r="BD9" s="88">
        <v>0</v>
      </c>
      <c r="BE9" s="88">
        <v>0</v>
      </c>
      <c r="BF9" s="88">
        <v>0</v>
      </c>
      <c r="BG9" s="88">
        <v>0</v>
      </c>
      <c r="BH9" s="88">
        <v>0</v>
      </c>
      <c r="BI9" s="88">
        <v>0</v>
      </c>
      <c r="BJ9" s="88">
        <v>0</v>
      </c>
      <c r="BK9" s="88">
        <v>0</v>
      </c>
      <c r="BL9" s="88">
        <v>0</v>
      </c>
      <c r="BM9" s="88">
        <v>0</v>
      </c>
      <c r="BN9" s="88">
        <v>0</v>
      </c>
      <c r="BO9" s="88">
        <v>0</v>
      </c>
      <c r="BP9" s="210">
        <v>0</v>
      </c>
      <c r="BQ9" s="208">
        <f t="shared" ref="BQ9:BQ70" si="6">+BB9+SUM(BD9:BG9)+SUM(BH9:BO9)-BP9</f>
        <v>0</v>
      </c>
      <c r="BR9" s="175">
        <f t="shared" ref="BR9:BR69" si="7">SUM(X9:AA9)+AB9+AG9+AK9+AO9+AS9+AW9+BA9+BP9</f>
        <v>0</v>
      </c>
    </row>
    <row r="10" spans="1:70" ht="25.8" thickBot="1" x14ac:dyDescent="0.65">
      <c r="A10" s="64">
        <v>2</v>
      </c>
      <c r="B10" s="112" t="s">
        <v>446</v>
      </c>
      <c r="C10" s="113" t="s">
        <v>19</v>
      </c>
      <c r="D10" s="114">
        <v>45404</v>
      </c>
      <c r="E10" s="115">
        <v>0</v>
      </c>
      <c r="F10" s="116">
        <f t="shared" si="0"/>
        <v>0</v>
      </c>
      <c r="G10" s="116">
        <f t="shared" ref="G10:G15" si="8">+BR10</f>
        <v>21</v>
      </c>
      <c r="H10" s="117">
        <f t="shared" ref="H10:H15" si="9">+F10+G10</f>
        <v>21</v>
      </c>
      <c r="I10" s="118">
        <v>15</v>
      </c>
      <c r="J10" s="88">
        <v>15</v>
      </c>
      <c r="L10" s="131">
        <v>46134</v>
      </c>
      <c r="M10" s="120"/>
      <c r="N10" s="121" t="str">
        <f t="shared" ca="1" si="3"/>
        <v>O.K.</v>
      </c>
      <c r="W10" s="1" t="s">
        <v>446</v>
      </c>
      <c r="X10" s="50">
        <v>0</v>
      </c>
      <c r="Y10" s="48">
        <v>0</v>
      </c>
      <c r="Z10" s="49">
        <v>0</v>
      </c>
      <c r="AA10" s="49">
        <v>0</v>
      </c>
      <c r="AB10" s="49">
        <v>0</v>
      </c>
      <c r="AC10" s="31">
        <v>0</v>
      </c>
      <c r="AD10" s="28">
        <v>0</v>
      </c>
      <c r="AE10" s="52">
        <v>0</v>
      </c>
      <c r="AF10" s="52">
        <v>0</v>
      </c>
      <c r="AG10" s="49">
        <v>0</v>
      </c>
      <c r="AH10" s="22">
        <f>+AD10+(AE10+AF10)-AG10</f>
        <v>0</v>
      </c>
      <c r="AI10" s="52">
        <v>0</v>
      </c>
      <c r="AJ10" s="52">
        <v>0</v>
      </c>
      <c r="AK10" s="49">
        <v>0</v>
      </c>
      <c r="AL10" s="69">
        <f>+AH10+AI10+AJ10-AK10</f>
        <v>0</v>
      </c>
      <c r="AM10" s="52">
        <v>0</v>
      </c>
      <c r="AN10" s="52">
        <v>0</v>
      </c>
      <c r="AO10" s="85">
        <v>0</v>
      </c>
      <c r="AP10" s="84">
        <f>+AL10+AM10+AN10-AO10</f>
        <v>0</v>
      </c>
      <c r="AQ10" s="76">
        <f t="shared" ref="AQ10:AR403" si="10">+(0)+(0)+(0)+(0)+(0)+(0)</f>
        <v>0</v>
      </c>
      <c r="AR10" s="76">
        <f t="shared" si="10"/>
        <v>0</v>
      </c>
      <c r="AS10" s="74">
        <v>0</v>
      </c>
      <c r="AT10" s="84">
        <f>+AP10+AQ10+AR10-AS10</f>
        <v>0</v>
      </c>
      <c r="AU10" s="73">
        <f t="shared" ref="AU10:AU14" si="11">+(0)+(0)+(0)+(0)</f>
        <v>0</v>
      </c>
      <c r="AV10" s="73">
        <f t="shared" ref="AV10" si="12">+(0)+(0)+(0)+(0)+(0)+(0)+(0)+(0)</f>
        <v>0</v>
      </c>
      <c r="AW10" s="73">
        <v>0</v>
      </c>
      <c r="AX10" s="73">
        <f t="shared" ref="AX10:AX17" si="13">+AT10+AU10+AV10-AW10</f>
        <v>0</v>
      </c>
      <c r="AY10" s="109">
        <f>+(0)+(21)+(0)+(0)</f>
        <v>21</v>
      </c>
      <c r="AZ10" s="109">
        <f t="shared" si="4"/>
        <v>0</v>
      </c>
      <c r="BA10" s="61">
        <v>21</v>
      </c>
      <c r="BB10" s="61">
        <f t="shared" ref="BB10:BB19" si="14">(AX10+AY10+AZ10)-BA10</f>
        <v>0</v>
      </c>
      <c r="BD10" s="88">
        <v>0</v>
      </c>
      <c r="BE10" s="88">
        <v>0</v>
      </c>
      <c r="BF10" s="88">
        <v>0</v>
      </c>
      <c r="BG10" s="88">
        <v>0</v>
      </c>
      <c r="BH10" s="88">
        <v>0</v>
      </c>
      <c r="BI10" s="88">
        <v>0</v>
      </c>
      <c r="BJ10" s="88">
        <v>0</v>
      </c>
      <c r="BK10" s="88">
        <v>0</v>
      </c>
      <c r="BL10" s="88">
        <v>0</v>
      </c>
      <c r="BM10" s="88">
        <v>0</v>
      </c>
      <c r="BN10" s="88">
        <v>0</v>
      </c>
      <c r="BO10" s="88">
        <v>0</v>
      </c>
      <c r="BP10" s="210">
        <v>0</v>
      </c>
      <c r="BQ10" s="208">
        <f t="shared" si="6"/>
        <v>0</v>
      </c>
      <c r="BR10" s="175">
        <f t="shared" si="7"/>
        <v>21</v>
      </c>
    </row>
    <row r="11" spans="1:70" ht="25.8" thickBot="1" x14ac:dyDescent="0.65">
      <c r="A11" s="64">
        <v>3</v>
      </c>
      <c r="B11" s="181" t="s">
        <v>491</v>
      </c>
      <c r="C11" s="182" t="s">
        <v>23</v>
      </c>
      <c r="D11" s="183">
        <v>45813</v>
      </c>
      <c r="E11" s="184">
        <v>0</v>
      </c>
      <c r="F11" s="185">
        <f t="shared" ref="F11" si="15">+E11*$C$1</f>
        <v>0</v>
      </c>
      <c r="G11" s="185">
        <f t="shared" ref="G11" si="16">+BR11</f>
        <v>0</v>
      </c>
      <c r="H11" s="186">
        <f t="shared" ref="H11" si="17">+F11+G11</f>
        <v>0</v>
      </c>
      <c r="I11" s="187">
        <v>15</v>
      </c>
      <c r="J11" s="88">
        <v>15</v>
      </c>
      <c r="L11" s="180" t="s">
        <v>442</v>
      </c>
      <c r="M11" s="188"/>
      <c r="N11" s="189"/>
      <c r="W11" s="1" t="s">
        <v>491</v>
      </c>
      <c r="X11" s="50"/>
      <c r="Y11" s="48"/>
      <c r="Z11" s="49"/>
      <c r="AA11" s="49"/>
      <c r="AB11" s="49"/>
      <c r="AC11" s="31"/>
      <c r="AD11" s="28"/>
      <c r="AE11" s="52"/>
      <c r="AF11" s="52"/>
      <c r="AG11" s="49"/>
      <c r="AH11" s="22"/>
      <c r="AI11" s="52"/>
      <c r="AJ11" s="52"/>
      <c r="AK11" s="49"/>
      <c r="AL11" s="69"/>
      <c r="AM11" s="52"/>
      <c r="AN11" s="52"/>
      <c r="AO11" s="85"/>
      <c r="AP11" s="84"/>
      <c r="AQ11" s="76"/>
      <c r="AR11" s="76"/>
      <c r="AS11" s="74"/>
      <c r="AT11" s="84"/>
      <c r="AU11" s="73"/>
      <c r="AV11" s="73"/>
      <c r="AW11" s="73"/>
      <c r="AX11" s="73"/>
      <c r="AY11" s="109">
        <f>+(0)+(0)+(0)+(0)</f>
        <v>0</v>
      </c>
      <c r="AZ11" s="109">
        <f t="shared" si="4"/>
        <v>0</v>
      </c>
      <c r="BA11" s="61">
        <v>0</v>
      </c>
      <c r="BB11" s="61">
        <f t="shared" si="14"/>
        <v>0</v>
      </c>
      <c r="BD11" s="88">
        <v>0</v>
      </c>
      <c r="BE11" s="88">
        <v>0</v>
      </c>
      <c r="BF11" s="88">
        <v>0</v>
      </c>
      <c r="BG11" s="88">
        <v>0</v>
      </c>
      <c r="BH11" s="88">
        <v>0</v>
      </c>
      <c r="BI11" s="88">
        <v>0</v>
      </c>
      <c r="BJ11" s="88">
        <v>0</v>
      </c>
      <c r="BK11" s="88">
        <v>0</v>
      </c>
      <c r="BL11" s="88">
        <v>0</v>
      </c>
      <c r="BM11" s="88">
        <v>0</v>
      </c>
      <c r="BN11" s="88">
        <v>0</v>
      </c>
      <c r="BO11" s="88">
        <v>0</v>
      </c>
      <c r="BP11" s="210">
        <v>0</v>
      </c>
      <c r="BQ11" s="208">
        <f t="shared" si="6"/>
        <v>0</v>
      </c>
      <c r="BR11" s="175">
        <f t="shared" si="7"/>
        <v>0</v>
      </c>
    </row>
    <row r="12" spans="1:70" ht="25.8" thickBot="1" x14ac:dyDescent="0.65">
      <c r="A12" s="64">
        <v>4</v>
      </c>
      <c r="B12" s="166" t="s">
        <v>404</v>
      </c>
      <c r="C12" s="156" t="s">
        <v>19</v>
      </c>
      <c r="D12" s="167">
        <v>45108</v>
      </c>
      <c r="E12" s="168">
        <v>1</v>
      </c>
      <c r="F12" s="160">
        <f t="shared" si="0"/>
        <v>533.33000000000004</v>
      </c>
      <c r="G12" s="160">
        <f t="shared" si="8"/>
        <v>360</v>
      </c>
      <c r="H12" s="161">
        <f t="shared" si="9"/>
        <v>893.33</v>
      </c>
      <c r="I12" s="162">
        <v>14</v>
      </c>
      <c r="J12" s="88">
        <v>14</v>
      </c>
      <c r="L12" s="178">
        <v>46471</v>
      </c>
      <c r="M12" s="164"/>
      <c r="N12" s="165" t="str">
        <f t="shared" ca="1" si="3"/>
        <v>O.K.</v>
      </c>
      <c r="W12" s="1" t="s">
        <v>404</v>
      </c>
      <c r="X12" s="50">
        <v>0</v>
      </c>
      <c r="Y12" s="48">
        <v>0</v>
      </c>
      <c r="Z12" s="49">
        <v>0</v>
      </c>
      <c r="AA12" s="49">
        <v>0</v>
      </c>
      <c r="AB12" s="49">
        <v>0</v>
      </c>
      <c r="AC12" s="31">
        <v>0</v>
      </c>
      <c r="AD12" s="28">
        <f>+AC12-AB12</f>
        <v>0</v>
      </c>
      <c r="AE12" s="52">
        <v>0</v>
      </c>
      <c r="AF12" s="52">
        <v>0</v>
      </c>
      <c r="AG12" s="49">
        <v>0</v>
      </c>
      <c r="AH12" s="22">
        <f>+AD12+(AE12+AF12)-AG12</f>
        <v>0</v>
      </c>
      <c r="AI12" s="52">
        <v>0</v>
      </c>
      <c r="AJ12" s="52">
        <v>0</v>
      </c>
      <c r="AK12" s="49">
        <v>0</v>
      </c>
      <c r="AL12" s="69">
        <f>+AH12+AI12+AJ12-AK12</f>
        <v>0</v>
      </c>
      <c r="AM12" s="52">
        <v>0</v>
      </c>
      <c r="AN12" s="52">
        <v>0</v>
      </c>
      <c r="AO12" s="72">
        <v>0</v>
      </c>
      <c r="AP12" s="84">
        <f>+AL12+AM12+AN12-AO12</f>
        <v>0</v>
      </c>
      <c r="AQ12" s="76">
        <f t="shared" si="10"/>
        <v>0</v>
      </c>
      <c r="AR12" s="76">
        <f t="shared" si="10"/>
        <v>0</v>
      </c>
      <c r="AS12" s="74">
        <v>0</v>
      </c>
      <c r="AT12" s="84">
        <f>+AP12+AQ12+AR12-AS12</f>
        <v>0</v>
      </c>
      <c r="AU12" s="73">
        <f t="shared" si="11"/>
        <v>0</v>
      </c>
      <c r="AV12" s="73">
        <f>+(0)+(0)+(174)+(0)+(0)+(0)+(78)+(0)</f>
        <v>252</v>
      </c>
      <c r="AW12" s="73">
        <v>120</v>
      </c>
      <c r="AX12" s="73">
        <f t="shared" si="13"/>
        <v>132</v>
      </c>
      <c r="AY12" s="109">
        <f>+(0)+(30)+(0)+(54)</f>
        <v>84</v>
      </c>
      <c r="AZ12" s="109">
        <f>+(0)+(0)+(0)+(0)+(0)+(132.6)+(0)+(0)</f>
        <v>132.6</v>
      </c>
      <c r="BA12" s="61">
        <v>120</v>
      </c>
      <c r="BB12" s="61">
        <f t="shared" si="14"/>
        <v>228.60000000000002</v>
      </c>
      <c r="BD12" s="88">
        <v>0</v>
      </c>
      <c r="BE12" s="88">
        <v>0</v>
      </c>
      <c r="BF12" s="88">
        <v>0</v>
      </c>
      <c r="BG12" s="88">
        <v>0</v>
      </c>
      <c r="BH12" s="88">
        <v>0</v>
      </c>
      <c r="BI12" s="88">
        <v>0</v>
      </c>
      <c r="BJ12" s="88">
        <v>0</v>
      </c>
      <c r="BK12" s="88">
        <v>0</v>
      </c>
      <c r="BL12" s="88">
        <v>0</v>
      </c>
      <c r="BM12" s="88">
        <v>0</v>
      </c>
      <c r="BN12" s="88">
        <v>0</v>
      </c>
      <c r="BO12" s="88">
        <v>0</v>
      </c>
      <c r="BP12" s="210">
        <v>120</v>
      </c>
      <c r="BQ12" s="208">
        <f t="shared" si="6"/>
        <v>108.60000000000002</v>
      </c>
      <c r="BR12" s="175">
        <f t="shared" si="7"/>
        <v>360</v>
      </c>
    </row>
    <row r="13" spans="1:70" ht="25.8" thickBot="1" x14ac:dyDescent="0.65">
      <c r="A13" s="64">
        <v>5</v>
      </c>
      <c r="B13" s="166" t="s">
        <v>30</v>
      </c>
      <c r="C13" s="156" t="s">
        <v>22</v>
      </c>
      <c r="D13" s="172" t="s">
        <v>113</v>
      </c>
      <c r="E13" s="168">
        <v>11</v>
      </c>
      <c r="F13" s="160">
        <f t="shared" si="0"/>
        <v>5866.63</v>
      </c>
      <c r="G13" s="160">
        <f t="shared" si="8"/>
        <v>2766</v>
      </c>
      <c r="H13" s="161">
        <f t="shared" si="9"/>
        <v>8632.630000000001</v>
      </c>
      <c r="I13" s="162">
        <v>4</v>
      </c>
      <c r="J13" s="88">
        <v>4</v>
      </c>
      <c r="L13" s="173">
        <v>46692</v>
      </c>
      <c r="M13" s="164"/>
      <c r="N13" s="165" t="str">
        <f t="shared" ca="1" si="3"/>
        <v>O.K.</v>
      </c>
      <c r="W13" s="1" t="s">
        <v>30</v>
      </c>
      <c r="X13" s="50">
        <v>1470</v>
      </c>
      <c r="Y13" s="48">
        <v>96</v>
      </c>
      <c r="Z13" s="49">
        <v>120</v>
      </c>
      <c r="AA13" s="49">
        <v>120</v>
      </c>
      <c r="AB13" s="49">
        <v>120</v>
      </c>
      <c r="AC13" s="31">
        <v>132.6</v>
      </c>
      <c r="AD13" s="28">
        <f t="shared" ref="AD13:AD19" si="18">+AC13-AB13</f>
        <v>12.599999999999994</v>
      </c>
      <c r="AE13" s="52">
        <v>78</v>
      </c>
      <c r="AF13" s="52">
        <f>+(0)+(132)+(0)+(0)+(54)+(54)</f>
        <v>240</v>
      </c>
      <c r="AG13" s="49">
        <v>120</v>
      </c>
      <c r="AH13" s="22">
        <f t="shared" ref="AH13:AH19" si="19">+AD13+(AE13+AF13)-AG13</f>
        <v>210.60000000000002</v>
      </c>
      <c r="AI13" s="52">
        <f>+(0)+(0)+(0)+(0)+(0)+(0)</f>
        <v>0</v>
      </c>
      <c r="AJ13" s="52">
        <f>+(186)+(0)+(0)+(0)+(0)+(0)</f>
        <v>186</v>
      </c>
      <c r="AK13" s="49">
        <v>120</v>
      </c>
      <c r="AL13" s="31">
        <f t="shared" ref="AL13:AL19" si="20">+AH13+AI13+AJ13-AK13</f>
        <v>276.60000000000002</v>
      </c>
      <c r="AM13" s="52">
        <f>+(0)+(0)+(0)+(0)+(0)+(0)</f>
        <v>0</v>
      </c>
      <c r="AN13" s="52">
        <f>+(0)+(0)+(0)+(0)+(0)+(0)</f>
        <v>0</v>
      </c>
      <c r="AO13" s="72">
        <v>120</v>
      </c>
      <c r="AP13" s="74">
        <f t="shared" ref="AP13:AP19" si="21">+AL13+AM13+AN13-AO13</f>
        <v>156.60000000000002</v>
      </c>
      <c r="AQ13" s="76">
        <f>+(38.4)+(0)+(0)+(0)+(108)+(0)</f>
        <v>146.4</v>
      </c>
      <c r="AR13" s="76">
        <f>+(0)+(37.8)+(0)+(0)+(0)+(0)</f>
        <v>37.799999999999997</v>
      </c>
      <c r="AS13" s="74">
        <v>120</v>
      </c>
      <c r="AT13" s="74">
        <f>+AP13+AQ13+AR13-AS13</f>
        <v>220.8</v>
      </c>
      <c r="AU13" s="73">
        <f>+(0)+(0)+(0)+(84)</f>
        <v>84</v>
      </c>
      <c r="AV13" s="73">
        <f>+(0)+(0)+(96)+(0)+(0)+(0)+(0)+(0)</f>
        <v>96</v>
      </c>
      <c r="AW13" s="73">
        <v>120</v>
      </c>
      <c r="AX13" s="73">
        <f t="shared" si="13"/>
        <v>280.8</v>
      </c>
      <c r="AY13" s="109">
        <f>+(0)+(0)+(0)+(54)</f>
        <v>54</v>
      </c>
      <c r="AZ13" s="109">
        <f>+(0)+(0)+(0)+(0)+(0)+(78)+(0)+(132.6)</f>
        <v>210.6</v>
      </c>
      <c r="BA13" s="61">
        <v>120</v>
      </c>
      <c r="BB13" s="61">
        <f t="shared" si="14"/>
        <v>425.4</v>
      </c>
      <c r="BD13" s="88">
        <v>0</v>
      </c>
      <c r="BE13" s="88">
        <v>0</v>
      </c>
      <c r="BF13" s="88">
        <v>0</v>
      </c>
      <c r="BG13" s="88">
        <v>0</v>
      </c>
      <c r="BH13" s="88">
        <v>0</v>
      </c>
      <c r="BI13" s="88">
        <v>0</v>
      </c>
      <c r="BJ13" s="88">
        <v>0</v>
      </c>
      <c r="BK13" s="88">
        <v>0</v>
      </c>
      <c r="BL13" s="88">
        <v>0</v>
      </c>
      <c r="BM13" s="88">
        <v>0</v>
      </c>
      <c r="BN13" s="88">
        <v>0</v>
      </c>
      <c r="BO13" s="88">
        <v>0</v>
      </c>
      <c r="BP13" s="210">
        <v>120</v>
      </c>
      <c r="BQ13" s="208">
        <f t="shared" si="6"/>
        <v>305.39999999999998</v>
      </c>
      <c r="BR13" s="175">
        <f t="shared" si="7"/>
        <v>2766</v>
      </c>
    </row>
    <row r="14" spans="1:70" ht="25.8" thickBot="1" x14ac:dyDescent="0.65">
      <c r="A14" s="64">
        <v>6</v>
      </c>
      <c r="B14" s="90" t="s">
        <v>238</v>
      </c>
      <c r="C14" s="91" t="s">
        <v>19</v>
      </c>
      <c r="D14" s="90" t="s">
        <v>9</v>
      </c>
      <c r="E14" s="93">
        <v>15</v>
      </c>
      <c r="F14" s="93">
        <f t="shared" si="0"/>
        <v>7999.9500000000007</v>
      </c>
      <c r="G14" s="98">
        <f t="shared" si="8"/>
        <v>2076</v>
      </c>
      <c r="H14" s="94">
        <f t="shared" si="9"/>
        <v>10075.950000000001</v>
      </c>
      <c r="I14" s="95">
        <v>2</v>
      </c>
      <c r="J14" s="88">
        <v>2</v>
      </c>
      <c r="L14" s="99"/>
      <c r="M14" s="96"/>
      <c r="N14" s="97" t="s">
        <v>25</v>
      </c>
      <c r="W14" s="1" t="s">
        <v>238</v>
      </c>
      <c r="X14" s="48">
        <v>1170</v>
      </c>
      <c r="Y14" s="48">
        <v>96</v>
      </c>
      <c r="Z14" s="49">
        <v>96</v>
      </c>
      <c r="AA14" s="49">
        <v>120</v>
      </c>
      <c r="AB14" s="49">
        <v>120</v>
      </c>
      <c r="AC14" s="31">
        <v>156</v>
      </c>
      <c r="AD14" s="28">
        <f t="shared" si="18"/>
        <v>36</v>
      </c>
      <c r="AE14" s="52">
        <v>0</v>
      </c>
      <c r="AF14" s="52">
        <f>+(0)+(78)+(54)+(0)+(54)+(54)</f>
        <v>240</v>
      </c>
      <c r="AG14" s="49">
        <v>120</v>
      </c>
      <c r="AH14" s="22">
        <f t="shared" si="19"/>
        <v>156</v>
      </c>
      <c r="AI14" s="52">
        <f>+(0)+(0)+(0)+(0)+(0)+(0)</f>
        <v>0</v>
      </c>
      <c r="AJ14" s="52">
        <f>+(0)+(78)+(0)+(0)+(0)+(0)</f>
        <v>78</v>
      </c>
      <c r="AK14" s="49">
        <v>120</v>
      </c>
      <c r="AL14" s="31">
        <f t="shared" si="20"/>
        <v>114</v>
      </c>
      <c r="AM14" s="52">
        <f>+(0)+(0)+(0)+(0)+(0)+(0)</f>
        <v>0</v>
      </c>
      <c r="AN14" s="52">
        <f>+(0)+(0)+(0)+(0)+(120)+(0)</f>
        <v>120</v>
      </c>
      <c r="AO14" s="72">
        <v>120</v>
      </c>
      <c r="AP14" s="74">
        <f t="shared" si="21"/>
        <v>114</v>
      </c>
      <c r="AQ14" s="76">
        <f>+(0)+(0)+(0)+(0)+(0)+(0)</f>
        <v>0</v>
      </c>
      <c r="AR14" s="76">
        <f>+(0)+(0)+(0)+(0)+(0)+(0)</f>
        <v>0</v>
      </c>
      <c r="AS14" s="74">
        <v>114</v>
      </c>
      <c r="AT14" s="74">
        <f>+AP14+AQ14+AR14-AS14</f>
        <v>0</v>
      </c>
      <c r="AU14" s="73">
        <f t="shared" si="11"/>
        <v>0</v>
      </c>
      <c r="AV14" s="73">
        <f t="shared" ref="AV14" si="22">+(0)+(0)+(0)+(0)+(0)+(0)+(0)+(0)</f>
        <v>0</v>
      </c>
      <c r="AW14" s="73">
        <v>0</v>
      </c>
      <c r="AX14" s="73">
        <f t="shared" si="13"/>
        <v>0</v>
      </c>
      <c r="AY14" s="109">
        <f>+(0)+(0)+(0)+(0)</f>
        <v>0</v>
      </c>
      <c r="AZ14" s="109">
        <f t="shared" si="4"/>
        <v>0</v>
      </c>
      <c r="BA14" s="61">
        <v>0</v>
      </c>
      <c r="BB14" s="61">
        <f t="shared" si="14"/>
        <v>0</v>
      </c>
      <c r="BD14" s="88">
        <v>0</v>
      </c>
      <c r="BE14" s="88">
        <v>0</v>
      </c>
      <c r="BF14" s="88">
        <v>0</v>
      </c>
      <c r="BG14" s="88">
        <v>0</v>
      </c>
      <c r="BH14" s="88">
        <v>0</v>
      </c>
      <c r="BI14" s="88">
        <v>0</v>
      </c>
      <c r="BJ14" s="88">
        <v>0</v>
      </c>
      <c r="BK14" s="88">
        <v>0</v>
      </c>
      <c r="BL14" s="88">
        <v>0</v>
      </c>
      <c r="BM14" s="88">
        <v>0</v>
      </c>
      <c r="BN14" s="88">
        <v>0</v>
      </c>
      <c r="BO14" s="88">
        <v>0</v>
      </c>
      <c r="BP14" s="210">
        <v>0</v>
      </c>
      <c r="BQ14" s="208">
        <f t="shared" si="6"/>
        <v>0</v>
      </c>
      <c r="BR14" s="175">
        <f t="shared" si="7"/>
        <v>2076</v>
      </c>
    </row>
    <row r="15" spans="1:70" ht="25.8" thickBot="1" x14ac:dyDescent="0.65">
      <c r="A15" s="64">
        <v>7</v>
      </c>
      <c r="B15" s="166" t="s">
        <v>268</v>
      </c>
      <c r="C15" s="156" t="s">
        <v>23</v>
      </c>
      <c r="D15" s="167">
        <v>43654</v>
      </c>
      <c r="E15" s="160">
        <v>3</v>
      </c>
      <c r="F15" s="160">
        <f t="shared" si="0"/>
        <v>1599.9900000000002</v>
      </c>
      <c r="G15" s="198">
        <f t="shared" si="8"/>
        <v>840</v>
      </c>
      <c r="H15" s="161">
        <f t="shared" si="9"/>
        <v>2439.9900000000002</v>
      </c>
      <c r="I15" s="162">
        <v>12</v>
      </c>
      <c r="J15" s="88">
        <v>12</v>
      </c>
      <c r="L15" s="169">
        <v>46576</v>
      </c>
      <c r="M15" s="164"/>
      <c r="N15" s="165" t="str">
        <f t="shared" ref="N15:N37" ca="1" si="23">IF($B$2&lt;L15,"O.K.","A L E R T A ")</f>
        <v>O.K.</v>
      </c>
      <c r="W15" s="1" t="s">
        <v>268</v>
      </c>
      <c r="X15" s="48">
        <v>0</v>
      </c>
      <c r="Y15" s="48">
        <v>0</v>
      </c>
      <c r="Z15" s="49">
        <v>0</v>
      </c>
      <c r="AA15" s="49">
        <v>0</v>
      </c>
      <c r="AB15" s="49">
        <v>0</v>
      </c>
      <c r="AC15" s="31">
        <v>0</v>
      </c>
      <c r="AD15" s="28">
        <f t="shared" si="18"/>
        <v>0</v>
      </c>
      <c r="AE15" s="52">
        <v>0</v>
      </c>
      <c r="AF15" s="52">
        <f>+(0)+(186)+(0)+(0)+(37.8)+(37.8)</f>
        <v>261.60000000000002</v>
      </c>
      <c r="AG15" s="49">
        <v>120</v>
      </c>
      <c r="AH15" s="22">
        <f t="shared" si="19"/>
        <v>141.60000000000002</v>
      </c>
      <c r="AI15" s="52">
        <f>+(0)+(0)+(0)+(0)+(0)+(0)</f>
        <v>0</v>
      </c>
      <c r="AJ15" s="52">
        <f>+(261.6)+(0)+(0)+(0)+(0)+(0)</f>
        <v>261.60000000000002</v>
      </c>
      <c r="AK15" s="49">
        <v>120</v>
      </c>
      <c r="AL15" s="31">
        <f t="shared" si="20"/>
        <v>283.20000000000005</v>
      </c>
      <c r="AM15" s="52">
        <f>+(0)+(0)+(0)+(0)+(0)+(0)</f>
        <v>0</v>
      </c>
      <c r="AN15" s="52">
        <f>+(0)+(0)+(0)+(0)+(0)+(96)</f>
        <v>96</v>
      </c>
      <c r="AO15" s="72">
        <v>120</v>
      </c>
      <c r="AP15" s="74">
        <f t="shared" si="21"/>
        <v>259.20000000000005</v>
      </c>
      <c r="AQ15" s="76">
        <f>+(67.2)+(0)+(0)+(0)+(54)+(0)</f>
        <v>121.2</v>
      </c>
      <c r="AR15" s="76">
        <f>+(0)+(0)+(0)+(0)+(0)+(0)</f>
        <v>0</v>
      </c>
      <c r="AS15" s="74">
        <v>120</v>
      </c>
      <c r="AT15" s="74">
        <f>+AP15+AQ15+AR15-AS15</f>
        <v>260.40000000000003</v>
      </c>
      <c r="AU15" s="73">
        <f>+(37.8)+(0)+(0)+(0)</f>
        <v>37.799999999999997</v>
      </c>
      <c r="AV15" s="73">
        <f>+(0)+(0)+(96)+(0)+(0)+(0)+(0)+(0)</f>
        <v>96</v>
      </c>
      <c r="AW15" s="73">
        <v>120</v>
      </c>
      <c r="AX15" s="73">
        <f t="shared" si="13"/>
        <v>274.20000000000005</v>
      </c>
      <c r="AY15" s="109">
        <f>+(0)+(0)+(0)+(0)</f>
        <v>0</v>
      </c>
      <c r="AZ15" s="109">
        <f>+(67.2)+(0)+(0)+(0)+(0)+(0)+(0)+(0)</f>
        <v>67.2</v>
      </c>
      <c r="BA15" s="61">
        <v>120</v>
      </c>
      <c r="BB15" s="61">
        <f t="shared" si="14"/>
        <v>221.40000000000003</v>
      </c>
      <c r="BD15" s="88">
        <v>0</v>
      </c>
      <c r="BE15" s="88">
        <v>0</v>
      </c>
      <c r="BF15" s="88">
        <v>0</v>
      </c>
      <c r="BG15" s="88">
        <v>0</v>
      </c>
      <c r="BH15" s="88">
        <v>0</v>
      </c>
      <c r="BI15" s="88">
        <v>0</v>
      </c>
      <c r="BJ15" s="88">
        <v>0</v>
      </c>
      <c r="BK15" s="88">
        <v>0</v>
      </c>
      <c r="BL15" s="88">
        <v>0</v>
      </c>
      <c r="BM15" s="88">
        <v>0</v>
      </c>
      <c r="BN15" s="88">
        <v>0</v>
      </c>
      <c r="BO15" s="88">
        <v>0</v>
      </c>
      <c r="BP15" s="210">
        <v>120</v>
      </c>
      <c r="BQ15" s="208">
        <f t="shared" si="6"/>
        <v>101.40000000000003</v>
      </c>
      <c r="BR15" s="175">
        <f t="shared" si="7"/>
        <v>840</v>
      </c>
    </row>
    <row r="16" spans="1:70" ht="25.8" thickBot="1" x14ac:dyDescent="0.65">
      <c r="A16" s="64">
        <v>8</v>
      </c>
      <c r="B16" s="112" t="s">
        <v>375</v>
      </c>
      <c r="C16" s="113" t="s">
        <v>21</v>
      </c>
      <c r="D16" s="114">
        <v>44867</v>
      </c>
      <c r="E16" s="116">
        <v>1</v>
      </c>
      <c r="F16" s="116">
        <f t="shared" ref="F16" si="24">+E16*$C$1</f>
        <v>533.33000000000004</v>
      </c>
      <c r="G16" s="152">
        <f t="shared" ref="G16" si="25">+BR16</f>
        <v>600</v>
      </c>
      <c r="H16" s="117">
        <f t="shared" ref="H16" si="26">+F16+G16</f>
        <v>1133.33</v>
      </c>
      <c r="I16" s="118">
        <v>14</v>
      </c>
      <c r="J16" s="88">
        <v>14</v>
      </c>
      <c r="L16" s="122">
        <v>46328</v>
      </c>
      <c r="M16" s="120"/>
      <c r="N16" s="121" t="str">
        <f t="shared" ca="1" si="23"/>
        <v>O.K.</v>
      </c>
      <c r="W16" s="1" t="s">
        <v>375</v>
      </c>
      <c r="X16" s="48">
        <v>0</v>
      </c>
      <c r="Y16" s="48">
        <v>0</v>
      </c>
      <c r="Z16" s="49">
        <v>0</v>
      </c>
      <c r="AA16" s="49">
        <v>0</v>
      </c>
      <c r="AB16" s="49">
        <v>0</v>
      </c>
      <c r="AC16" s="31">
        <v>0</v>
      </c>
      <c r="AD16" s="28">
        <f t="shared" si="18"/>
        <v>0</v>
      </c>
      <c r="AE16" s="52">
        <v>0</v>
      </c>
      <c r="AF16" s="52">
        <v>0</v>
      </c>
      <c r="AG16" s="49">
        <v>0</v>
      </c>
      <c r="AH16" s="22">
        <f t="shared" si="19"/>
        <v>0</v>
      </c>
      <c r="AI16" s="52">
        <v>0</v>
      </c>
      <c r="AJ16" s="52">
        <v>0</v>
      </c>
      <c r="AK16" s="49">
        <v>0</v>
      </c>
      <c r="AL16" s="31">
        <f t="shared" si="20"/>
        <v>0</v>
      </c>
      <c r="AM16" s="52">
        <f>+(0)+(0)+(0)+(0)+(0)+(0)</f>
        <v>0</v>
      </c>
      <c r="AN16" s="52">
        <f>+(0)+(0)+(0)+(0)+(0)+(0)</f>
        <v>0</v>
      </c>
      <c r="AO16" s="72">
        <v>0</v>
      </c>
      <c r="AP16" s="74">
        <f t="shared" si="21"/>
        <v>0</v>
      </c>
      <c r="AQ16" s="76">
        <f>+(108)+(0)+(0)+(0)+(54)+(0)</f>
        <v>162</v>
      </c>
      <c r="AR16" s="76">
        <f>+(0)+(0)+(0)+(0)+(0)+(0)</f>
        <v>0</v>
      </c>
      <c r="AS16" s="74">
        <v>150</v>
      </c>
      <c r="AT16" s="74">
        <f t="shared" ref="AT16" si="27">+AP16+AQ16+AR16-AS16</f>
        <v>12</v>
      </c>
      <c r="AU16" s="73">
        <f>+(139.2)+(0)+(0)+(444)</f>
        <v>583.20000000000005</v>
      </c>
      <c r="AV16" s="73">
        <f>+(0)+(120)+(0)+(0)+(0)+(0)+(0)+(0)</f>
        <v>120</v>
      </c>
      <c r="AW16" s="73">
        <v>150</v>
      </c>
      <c r="AX16" s="73">
        <f t="shared" si="13"/>
        <v>565.20000000000005</v>
      </c>
      <c r="AY16" s="109">
        <f>+(0)+(0)+(0)+(318.6)</f>
        <v>318.60000000000002</v>
      </c>
      <c r="AZ16" s="109">
        <f>+(0)+(54)+(78)+(0)+(30)+(0)+(0)+(162)</f>
        <v>324</v>
      </c>
      <c r="BA16" s="61">
        <v>150</v>
      </c>
      <c r="BB16" s="61">
        <f t="shared" si="14"/>
        <v>1057.8000000000002</v>
      </c>
      <c r="BD16" s="88">
        <v>0</v>
      </c>
      <c r="BE16" s="88">
        <v>0</v>
      </c>
      <c r="BF16" s="88">
        <v>0</v>
      </c>
      <c r="BG16" s="88">
        <v>0</v>
      </c>
      <c r="BH16" s="88">
        <v>0</v>
      </c>
      <c r="BI16" s="88">
        <v>0</v>
      </c>
      <c r="BJ16" s="88">
        <v>0</v>
      </c>
      <c r="BK16" s="88">
        <v>0</v>
      </c>
      <c r="BL16" s="88">
        <v>0</v>
      </c>
      <c r="BM16" s="88">
        <v>0</v>
      </c>
      <c r="BN16" s="88">
        <v>0</v>
      </c>
      <c r="BO16" s="88">
        <v>0</v>
      </c>
      <c r="BP16" s="210">
        <v>150</v>
      </c>
      <c r="BQ16" s="208">
        <f t="shared" si="6"/>
        <v>907.80000000000018</v>
      </c>
      <c r="BR16" s="175">
        <f t="shared" si="7"/>
        <v>600</v>
      </c>
    </row>
    <row r="17" spans="1:70" ht="25.8" thickBot="1" x14ac:dyDescent="0.65">
      <c r="A17" s="64">
        <v>9</v>
      </c>
      <c r="B17" s="112" t="s">
        <v>32</v>
      </c>
      <c r="C17" s="113" t="s">
        <v>171</v>
      </c>
      <c r="D17" s="112" t="s">
        <v>115</v>
      </c>
      <c r="E17" s="115">
        <v>12</v>
      </c>
      <c r="F17" s="116">
        <f>+E17*$C$1</f>
        <v>6399.9600000000009</v>
      </c>
      <c r="G17" s="116">
        <f>+BR17</f>
        <v>2562</v>
      </c>
      <c r="H17" s="117">
        <f>+F17+G17</f>
        <v>8961.9600000000009</v>
      </c>
      <c r="I17" s="118">
        <v>4</v>
      </c>
      <c r="J17" s="88">
        <v>4</v>
      </c>
      <c r="L17" s="119">
        <v>46082</v>
      </c>
      <c r="M17" s="120"/>
      <c r="N17" s="121" t="str">
        <f t="shared" ca="1" si="23"/>
        <v>O.K.</v>
      </c>
      <c r="W17" s="1" t="s">
        <v>32</v>
      </c>
      <c r="X17" s="50">
        <v>1290</v>
      </c>
      <c r="Y17" s="48">
        <v>96</v>
      </c>
      <c r="Z17" s="49">
        <v>96</v>
      </c>
      <c r="AA17" s="49">
        <v>120</v>
      </c>
      <c r="AB17" s="49">
        <v>120</v>
      </c>
      <c r="AC17" s="31">
        <v>156</v>
      </c>
      <c r="AD17" s="28">
        <f t="shared" si="18"/>
        <v>36</v>
      </c>
      <c r="AE17" s="52">
        <f>78+54</f>
        <v>132</v>
      </c>
      <c r="AF17" s="52">
        <f>+(0)+(0)+(0)+(0)+(54)+(54)</f>
        <v>108</v>
      </c>
      <c r="AG17" s="49">
        <v>120</v>
      </c>
      <c r="AH17" s="22">
        <f t="shared" si="19"/>
        <v>156</v>
      </c>
      <c r="AI17" s="52">
        <f>+(0)+(0)+(0)+(0)+(0)+(0)</f>
        <v>0</v>
      </c>
      <c r="AJ17" s="52">
        <f>+(0)+(552)+(0)+(0)+(0)+(0)</f>
        <v>552</v>
      </c>
      <c r="AK17" s="49">
        <v>120</v>
      </c>
      <c r="AL17" s="31">
        <f t="shared" si="20"/>
        <v>588</v>
      </c>
      <c r="AM17" s="52">
        <f>+(0)+(0)+(0)+(0)+(0)+(30)</f>
        <v>30</v>
      </c>
      <c r="AN17" s="52">
        <f>+(0)+(0)+(0)+(0)+(283.2)+(0)</f>
        <v>283.2</v>
      </c>
      <c r="AO17" s="72">
        <v>120</v>
      </c>
      <c r="AP17" s="74">
        <f t="shared" si="21"/>
        <v>781.2</v>
      </c>
      <c r="AQ17" s="76">
        <f>+(0)+(0)+(0)+(0)+(54)+(0)</f>
        <v>54</v>
      </c>
      <c r="AR17" s="76">
        <f>+(0)+(0)+(0)+(0)+(0)+(0)</f>
        <v>0</v>
      </c>
      <c r="AS17" s="74">
        <v>120</v>
      </c>
      <c r="AT17" s="74">
        <f>+AP17+AQ17+AR17-AS17</f>
        <v>715.2</v>
      </c>
      <c r="AU17" s="73">
        <f>+(96)+(0)+(0)+(0)</f>
        <v>96</v>
      </c>
      <c r="AV17" s="73">
        <f>+(81)+(0)+(0)+(0)+(84.6)+(0)+(0)+(0)</f>
        <v>165.6</v>
      </c>
      <c r="AW17" s="73">
        <v>120</v>
      </c>
      <c r="AX17" s="73">
        <f t="shared" si="13"/>
        <v>856.80000000000007</v>
      </c>
      <c r="AY17" s="109">
        <f>+(0)+(0)+(0)+(0)</f>
        <v>0</v>
      </c>
      <c r="AZ17" s="109">
        <f>+(141)+(0)+(0)+(0)+(0)+(0)+(0)+(168)</f>
        <v>309</v>
      </c>
      <c r="BA17" s="61">
        <v>120</v>
      </c>
      <c r="BB17" s="61">
        <f t="shared" si="14"/>
        <v>1045.8000000000002</v>
      </c>
      <c r="BD17" s="88">
        <v>0</v>
      </c>
      <c r="BE17" s="88">
        <v>0</v>
      </c>
      <c r="BF17" s="88">
        <v>0</v>
      </c>
      <c r="BG17" s="88">
        <v>0</v>
      </c>
      <c r="BH17" s="88">
        <v>0</v>
      </c>
      <c r="BI17" s="88">
        <v>0</v>
      </c>
      <c r="BJ17" s="88">
        <v>0</v>
      </c>
      <c r="BK17" s="88">
        <v>0</v>
      </c>
      <c r="BL17" s="88">
        <v>0</v>
      </c>
      <c r="BM17" s="88">
        <v>0</v>
      </c>
      <c r="BN17" s="88">
        <v>0</v>
      </c>
      <c r="BO17" s="88">
        <v>0</v>
      </c>
      <c r="BP17" s="210">
        <v>120</v>
      </c>
      <c r="BQ17" s="208">
        <f t="shared" si="6"/>
        <v>925.80000000000018</v>
      </c>
      <c r="BR17" s="175">
        <f t="shared" si="7"/>
        <v>2562</v>
      </c>
    </row>
    <row r="18" spans="1:70" ht="25.8" thickBot="1" x14ac:dyDescent="0.65">
      <c r="A18" s="64">
        <v>10</v>
      </c>
      <c r="B18" s="112" t="s">
        <v>279</v>
      </c>
      <c r="C18" s="113" t="s">
        <v>20</v>
      </c>
      <c r="D18" s="114">
        <v>42562</v>
      </c>
      <c r="E18" s="116">
        <v>4</v>
      </c>
      <c r="F18" s="116">
        <f>+E18*$C$1</f>
        <v>2133.3200000000002</v>
      </c>
      <c r="G18" s="116">
        <f>+BR18</f>
        <v>1350</v>
      </c>
      <c r="H18" s="117">
        <f>+F18+G18</f>
        <v>3483.32</v>
      </c>
      <c r="I18" s="118">
        <v>11</v>
      </c>
      <c r="J18" s="88">
        <v>11</v>
      </c>
      <c r="K18" s="212" t="s">
        <v>315</v>
      </c>
      <c r="L18" s="119">
        <v>46214</v>
      </c>
      <c r="M18" s="120"/>
      <c r="N18" s="121" t="str">
        <f t="shared" ca="1" si="23"/>
        <v>O.K.</v>
      </c>
      <c r="W18" s="1" t="s">
        <v>279</v>
      </c>
      <c r="X18" s="48">
        <v>0</v>
      </c>
      <c r="Y18" s="48">
        <v>0</v>
      </c>
      <c r="Z18" s="49">
        <v>0</v>
      </c>
      <c r="AA18" s="49">
        <v>150</v>
      </c>
      <c r="AB18" s="49">
        <v>150</v>
      </c>
      <c r="AC18" s="31">
        <v>186.6</v>
      </c>
      <c r="AD18" s="28">
        <f t="shared" si="18"/>
        <v>36.599999999999994</v>
      </c>
      <c r="AE18" s="52">
        <v>0</v>
      </c>
      <c r="AF18" s="52">
        <f>+(0)+(132)+(0)+(0)+(132)+(216)</f>
        <v>480</v>
      </c>
      <c r="AG18" s="49">
        <v>150</v>
      </c>
      <c r="AH18" s="22">
        <f t="shared" si="19"/>
        <v>366.6</v>
      </c>
      <c r="AI18" s="52">
        <f>+(0)+(0)+(0)+(0)+(0)+(0)</f>
        <v>0</v>
      </c>
      <c r="AJ18" s="52">
        <f>+(78)+(0)+(0)+(0)+(78)+(0)</f>
        <v>156</v>
      </c>
      <c r="AK18" s="49">
        <v>150</v>
      </c>
      <c r="AL18" s="31">
        <f t="shared" si="20"/>
        <v>372.6</v>
      </c>
      <c r="AM18" s="52">
        <f>+(0)+(0)+(0)+(0)+(0)+(0)</f>
        <v>0</v>
      </c>
      <c r="AN18" s="52">
        <f>+(0)+(0)+(0)+(0)+(0)+(96)</f>
        <v>96</v>
      </c>
      <c r="AO18" s="72">
        <v>150</v>
      </c>
      <c r="AP18" s="74">
        <f t="shared" si="21"/>
        <v>318.60000000000002</v>
      </c>
      <c r="AQ18" s="76">
        <f>+(108)+(0)+(0)+(54.6)+(54)+(0)</f>
        <v>216.6</v>
      </c>
      <c r="AR18" s="76">
        <f>+(0)+(31.2)+(0)+(0)+(0)+(0)</f>
        <v>31.2</v>
      </c>
      <c r="AS18" s="74">
        <v>150</v>
      </c>
      <c r="AT18" s="74">
        <f>+AP18+AQ18+AR18-AS18</f>
        <v>416.40000000000009</v>
      </c>
      <c r="AU18" s="73">
        <f>+(0)+(0)+(0)+(252)</f>
        <v>252</v>
      </c>
      <c r="AV18" s="73">
        <f>+(120)+(0)+(0)+(0)+(0)+(0)+(54.6)+(0)</f>
        <v>174.6</v>
      </c>
      <c r="AW18" s="73">
        <v>150</v>
      </c>
      <c r="AX18" s="73">
        <f t="shared" ref="AX18:AX21" si="28">+AT18+AU18+AV18-AW18</f>
        <v>693.00000000000011</v>
      </c>
      <c r="AY18" s="109">
        <f>+(0)+(0)+(0)+(0)</f>
        <v>0</v>
      </c>
      <c r="AZ18" s="109">
        <f>+(0)+(0)+(0)+(0)+(0)+(0)+(0)+(0)</f>
        <v>0</v>
      </c>
      <c r="BA18" s="61">
        <v>150</v>
      </c>
      <c r="BB18" s="61">
        <f t="shared" si="14"/>
        <v>543.00000000000011</v>
      </c>
      <c r="BD18" s="153">
        <v>30</v>
      </c>
      <c r="BE18" s="88">
        <v>0</v>
      </c>
      <c r="BF18" s="88">
        <v>0</v>
      </c>
      <c r="BG18" s="88">
        <v>0</v>
      </c>
      <c r="BH18" s="88">
        <v>0</v>
      </c>
      <c r="BI18" s="88">
        <v>0</v>
      </c>
      <c r="BJ18" s="88">
        <v>0</v>
      </c>
      <c r="BK18" s="88">
        <v>0</v>
      </c>
      <c r="BL18" s="88">
        <v>0</v>
      </c>
      <c r="BM18" s="88">
        <v>0</v>
      </c>
      <c r="BN18" s="88">
        <v>0</v>
      </c>
      <c r="BO18" s="88">
        <v>0</v>
      </c>
      <c r="BP18" s="210">
        <v>150</v>
      </c>
      <c r="BQ18" s="208">
        <f t="shared" si="6"/>
        <v>423.00000000000011</v>
      </c>
      <c r="BR18" s="175">
        <f t="shared" si="7"/>
        <v>1350</v>
      </c>
    </row>
    <row r="19" spans="1:70" ht="25.8" thickBot="1" x14ac:dyDescent="0.65">
      <c r="A19" s="64">
        <v>11</v>
      </c>
      <c r="B19" s="166" t="s">
        <v>214</v>
      </c>
      <c r="C19" s="156" t="s">
        <v>20</v>
      </c>
      <c r="D19" s="170">
        <v>42736</v>
      </c>
      <c r="E19" s="168">
        <v>4</v>
      </c>
      <c r="F19" s="160">
        <f>+E19*$C$1</f>
        <v>2133.3200000000002</v>
      </c>
      <c r="G19" s="160">
        <f>+BR19</f>
        <v>504</v>
      </c>
      <c r="H19" s="161">
        <f>+F19+G19</f>
        <v>2637.32</v>
      </c>
      <c r="I19" s="162">
        <v>12</v>
      </c>
      <c r="J19" s="88">
        <v>12</v>
      </c>
      <c r="L19" s="171">
        <v>46388</v>
      </c>
      <c r="M19" s="164"/>
      <c r="N19" s="165" t="str">
        <f t="shared" ca="1" si="23"/>
        <v>O.K.</v>
      </c>
      <c r="W19" s="1" t="s">
        <v>214</v>
      </c>
      <c r="X19" s="50">
        <v>0</v>
      </c>
      <c r="Y19" s="48">
        <v>0</v>
      </c>
      <c r="Z19" s="49">
        <v>108</v>
      </c>
      <c r="AA19" s="49">
        <v>132</v>
      </c>
      <c r="AB19" s="49">
        <v>0</v>
      </c>
      <c r="AC19" s="31">
        <v>0</v>
      </c>
      <c r="AD19" s="28">
        <f t="shared" si="18"/>
        <v>0</v>
      </c>
      <c r="AE19" s="52">
        <v>0</v>
      </c>
      <c r="AF19" s="52">
        <f t="shared" ref="AF19:AF355" si="29">+(0)+(0)+(0)+(0)+(0)+(0)</f>
        <v>0</v>
      </c>
      <c r="AG19" s="49">
        <v>0</v>
      </c>
      <c r="AH19" s="22">
        <f t="shared" si="19"/>
        <v>0</v>
      </c>
      <c r="AI19" s="52">
        <f>+(0)+(0)+(0)+(0)+(0)+(0)</f>
        <v>0</v>
      </c>
      <c r="AJ19" s="52">
        <f>+(0)+(0)+(0)+(0)+(0)+(0)</f>
        <v>0</v>
      </c>
      <c r="AK19" s="49">
        <v>0</v>
      </c>
      <c r="AL19" s="31">
        <f t="shared" si="20"/>
        <v>0</v>
      </c>
      <c r="AM19" s="52">
        <f>+(0)+(0)+(0)+(0)+(0)+(0)</f>
        <v>0</v>
      </c>
      <c r="AN19" s="52">
        <f>+(0)+(0)+(0)+(0)+(0)+(0)</f>
        <v>0</v>
      </c>
      <c r="AO19" s="72">
        <v>0</v>
      </c>
      <c r="AP19" s="74">
        <f t="shared" si="21"/>
        <v>0</v>
      </c>
      <c r="AQ19" s="76">
        <f>+(0)+(0)+(0)+(0)+(0)+(0)</f>
        <v>0</v>
      </c>
      <c r="AR19" s="76">
        <f>+(0)+(0)+(0)+(0)+(0)+(0)</f>
        <v>0</v>
      </c>
      <c r="AS19" s="74">
        <v>0</v>
      </c>
      <c r="AT19" s="74">
        <f>+AP19+AQ19+AR19-AS19</f>
        <v>0</v>
      </c>
      <c r="AU19" s="73">
        <f>+(0)+(0)+(0)+(78)</f>
        <v>78</v>
      </c>
      <c r="AV19" s="73">
        <f t="shared" ref="AV19:AV399" si="30">+(0)+(0)+(0)+(0)+(0)+(0)+(0)+(0)</f>
        <v>0</v>
      </c>
      <c r="AW19" s="73">
        <v>78</v>
      </c>
      <c r="AX19" s="73">
        <f t="shared" si="28"/>
        <v>0</v>
      </c>
      <c r="AY19" s="109">
        <f>+(0)+(0)+(0)+(0)</f>
        <v>0</v>
      </c>
      <c r="AZ19" s="109">
        <f>+(0)+(0)+(54)+(0)+(54)+(0)+(0)+(78)</f>
        <v>186</v>
      </c>
      <c r="BA19" s="61">
        <v>150</v>
      </c>
      <c r="BB19" s="61">
        <f t="shared" si="14"/>
        <v>36</v>
      </c>
      <c r="BD19" s="88">
        <v>0</v>
      </c>
      <c r="BE19" s="88">
        <v>0</v>
      </c>
      <c r="BF19" s="88">
        <v>0</v>
      </c>
      <c r="BG19" s="88">
        <v>0</v>
      </c>
      <c r="BH19" s="88">
        <v>0</v>
      </c>
      <c r="BI19" s="88">
        <v>0</v>
      </c>
      <c r="BJ19" s="88">
        <v>0</v>
      </c>
      <c r="BK19" s="88">
        <v>0</v>
      </c>
      <c r="BL19" s="88">
        <v>0</v>
      </c>
      <c r="BM19" s="88">
        <v>0</v>
      </c>
      <c r="BN19" s="88">
        <v>0</v>
      </c>
      <c r="BO19" s="88">
        <v>0</v>
      </c>
      <c r="BP19" s="210">
        <v>36</v>
      </c>
      <c r="BQ19" s="208">
        <f t="shared" si="6"/>
        <v>0</v>
      </c>
      <c r="BR19" s="175">
        <f t="shared" si="7"/>
        <v>504</v>
      </c>
    </row>
    <row r="20" spans="1:70" ht="25.8" thickBot="1" x14ac:dyDescent="0.65">
      <c r="A20" s="64">
        <v>12</v>
      </c>
      <c r="B20" s="166" t="s">
        <v>481</v>
      </c>
      <c r="C20" s="156" t="s">
        <v>20</v>
      </c>
      <c r="D20" s="170">
        <v>45733</v>
      </c>
      <c r="E20" s="168">
        <v>1</v>
      </c>
      <c r="F20" s="160">
        <f t="shared" ref="F20" si="31">+E20*$C$1</f>
        <v>533.33000000000004</v>
      </c>
      <c r="G20" s="160">
        <f t="shared" ref="G20" si="32">+BR20</f>
        <v>192</v>
      </c>
      <c r="H20" s="161">
        <f t="shared" ref="H20" si="33">+F20+G20</f>
        <v>725.33</v>
      </c>
      <c r="I20" s="162">
        <v>15</v>
      </c>
      <c r="J20" s="88">
        <v>15</v>
      </c>
      <c r="L20" s="171">
        <v>46435</v>
      </c>
      <c r="M20" s="164"/>
      <c r="N20" s="165" t="str">
        <f t="shared" ca="1" si="23"/>
        <v>O.K.</v>
      </c>
      <c r="W20" s="1" t="str">
        <f>+B20</f>
        <v>ASPEE RODRIGUEZ CRISTIAN A.</v>
      </c>
      <c r="X20" s="50"/>
      <c r="Y20" s="48"/>
      <c r="Z20" s="49"/>
      <c r="AA20" s="49"/>
      <c r="AB20" s="49"/>
      <c r="AC20" s="31"/>
      <c r="AD20" s="28"/>
      <c r="AE20" s="52"/>
      <c r="AF20" s="52"/>
      <c r="AG20" s="49"/>
      <c r="AH20" s="22"/>
      <c r="AI20" s="52"/>
      <c r="AJ20" s="52"/>
      <c r="AK20" s="49"/>
      <c r="AL20" s="31"/>
      <c r="AM20" s="52"/>
      <c r="AN20" s="52"/>
      <c r="AO20" s="72"/>
      <c r="AP20" s="74"/>
      <c r="AQ20" s="76"/>
      <c r="AR20" s="76"/>
      <c r="AS20" s="74"/>
      <c r="AT20" s="74"/>
      <c r="AU20" s="73"/>
      <c r="AV20" s="73"/>
      <c r="AW20" s="73"/>
      <c r="AX20" s="73"/>
      <c r="AY20" s="109">
        <f>+(0)+(0)+(0)+(0)</f>
        <v>0</v>
      </c>
      <c r="AZ20" s="109">
        <f>+(0)+(0)+(0)+(0)+(0)+(0)+(192)+(0)</f>
        <v>192</v>
      </c>
      <c r="BA20" s="61">
        <v>150</v>
      </c>
      <c r="BB20" s="61">
        <f t="shared" ref="BB20" si="34">(AX20+AY20+AZ20)-BA20</f>
        <v>42</v>
      </c>
      <c r="BD20" s="88">
        <v>0</v>
      </c>
      <c r="BE20" s="88">
        <v>0</v>
      </c>
      <c r="BF20" s="88">
        <v>0</v>
      </c>
      <c r="BG20" s="88">
        <v>0</v>
      </c>
      <c r="BH20" s="88">
        <v>0</v>
      </c>
      <c r="BI20" s="88">
        <v>0</v>
      </c>
      <c r="BJ20" s="88">
        <v>0</v>
      </c>
      <c r="BK20" s="88">
        <v>0</v>
      </c>
      <c r="BL20" s="88">
        <v>0</v>
      </c>
      <c r="BM20" s="88">
        <v>0</v>
      </c>
      <c r="BN20" s="88">
        <v>0</v>
      </c>
      <c r="BO20" s="88">
        <v>0</v>
      </c>
      <c r="BP20" s="210">
        <v>42</v>
      </c>
      <c r="BQ20" s="208">
        <f t="shared" si="6"/>
        <v>0</v>
      </c>
      <c r="BR20" s="175">
        <f t="shared" si="7"/>
        <v>192</v>
      </c>
    </row>
    <row r="21" spans="1:70" ht="25.8" thickBot="1" x14ac:dyDescent="0.65">
      <c r="A21" s="64">
        <v>13</v>
      </c>
      <c r="B21" s="112" t="s">
        <v>467</v>
      </c>
      <c r="C21" s="113" t="s">
        <v>23</v>
      </c>
      <c r="D21" s="114">
        <v>45292</v>
      </c>
      <c r="E21" s="115">
        <v>1</v>
      </c>
      <c r="F21" s="116">
        <f t="shared" ref="F21:F26" si="35">+E21*$C$1</f>
        <v>533.33000000000004</v>
      </c>
      <c r="G21" s="116">
        <f t="shared" ref="G21:G26" si="36">+BR21</f>
        <v>522</v>
      </c>
      <c r="H21" s="117">
        <f t="shared" ref="H21:H26" si="37">+F21+G21</f>
        <v>1055.33</v>
      </c>
      <c r="I21" s="118">
        <v>14</v>
      </c>
      <c r="J21" s="21">
        <v>14</v>
      </c>
      <c r="L21" s="119">
        <v>46032</v>
      </c>
      <c r="M21" s="120"/>
      <c r="N21" s="121" t="str">
        <f t="shared" ca="1" si="23"/>
        <v>O.K.</v>
      </c>
      <c r="W21" s="1" t="s">
        <v>467</v>
      </c>
      <c r="X21" s="176">
        <v>282</v>
      </c>
      <c r="Y21" s="48">
        <v>0</v>
      </c>
      <c r="Z21" s="49">
        <v>0</v>
      </c>
      <c r="AA21" s="49">
        <v>0</v>
      </c>
      <c r="AB21" s="49">
        <v>0</v>
      </c>
      <c r="AC21" s="31">
        <v>0</v>
      </c>
      <c r="AD21" s="28">
        <f t="shared" ref="AD21:AD56" si="38">+AC21-AB21</f>
        <v>0</v>
      </c>
      <c r="AE21" s="52">
        <v>0</v>
      </c>
      <c r="AF21" s="52">
        <v>0</v>
      </c>
      <c r="AG21" s="49">
        <v>0</v>
      </c>
      <c r="AH21" s="22">
        <f t="shared" ref="AH21:AH56" si="39">+AD21+(AE21+AF21)-AG21</f>
        <v>0</v>
      </c>
      <c r="AI21" s="52">
        <v>0</v>
      </c>
      <c r="AJ21" s="52">
        <v>0</v>
      </c>
      <c r="AK21" s="49">
        <v>0</v>
      </c>
      <c r="AL21" s="31">
        <f t="shared" ref="AL21:AL56" si="40">+AH21+AI21+AJ21-AK21</f>
        <v>0</v>
      </c>
      <c r="AM21" s="52">
        <v>0</v>
      </c>
      <c r="AN21" s="52">
        <v>0</v>
      </c>
      <c r="AO21" s="85">
        <v>0</v>
      </c>
      <c r="AP21" s="174">
        <f t="shared" ref="AP21:AP56" si="41">+AL21+AM21+AN21-AO21</f>
        <v>0</v>
      </c>
      <c r="AQ21" s="76">
        <v>0</v>
      </c>
      <c r="AR21" s="76">
        <v>0</v>
      </c>
      <c r="AS21" s="74">
        <v>0</v>
      </c>
      <c r="AT21" s="174">
        <f t="shared" ref="AT21:AT56" si="42">+AP21+AQ21+AR21-AS21</f>
        <v>0</v>
      </c>
      <c r="AU21" s="31">
        <f>+(0)+(0)+(0)+(0)</f>
        <v>0</v>
      </c>
      <c r="AV21" s="31">
        <f t="shared" si="30"/>
        <v>0</v>
      </c>
      <c r="AW21" s="31">
        <v>0</v>
      </c>
      <c r="AX21" s="31">
        <f t="shared" si="28"/>
        <v>0</v>
      </c>
      <c r="AY21" s="109">
        <f>+(0)+(0)+(0)+(78)</f>
        <v>78</v>
      </c>
      <c r="AZ21" s="109">
        <f>+(0)+(0)+(0)+(0)+(30)+(108)+(0)+(31.2)</f>
        <v>169.2</v>
      </c>
      <c r="BA21" s="61">
        <v>120</v>
      </c>
      <c r="BB21" s="61">
        <f t="shared" ref="BB21:BB46" si="43">(AX21+AY21+AZ21)-BA21</f>
        <v>127.19999999999999</v>
      </c>
      <c r="BD21" s="153">
        <v>61.2</v>
      </c>
      <c r="BE21" s="88">
        <v>0</v>
      </c>
      <c r="BF21" s="88">
        <v>0</v>
      </c>
      <c r="BG21" s="88">
        <v>0</v>
      </c>
      <c r="BH21" s="88">
        <v>0</v>
      </c>
      <c r="BI21" s="88">
        <v>0</v>
      </c>
      <c r="BJ21" s="88">
        <v>0</v>
      </c>
      <c r="BK21" s="88">
        <v>0</v>
      </c>
      <c r="BL21" s="88">
        <v>0</v>
      </c>
      <c r="BM21" s="88">
        <v>0</v>
      </c>
      <c r="BN21" s="88">
        <v>0</v>
      </c>
      <c r="BO21" s="88">
        <v>0</v>
      </c>
      <c r="BP21" s="210">
        <v>120</v>
      </c>
      <c r="BQ21" s="208">
        <f t="shared" si="6"/>
        <v>68.399999999999977</v>
      </c>
      <c r="BR21" s="175">
        <f t="shared" si="7"/>
        <v>522</v>
      </c>
    </row>
    <row r="22" spans="1:70" ht="25.8" thickBot="1" x14ac:dyDescent="0.65">
      <c r="A22" s="64">
        <v>14</v>
      </c>
      <c r="B22" s="112" t="s">
        <v>316</v>
      </c>
      <c r="C22" s="113" t="s">
        <v>19</v>
      </c>
      <c r="D22" s="123">
        <v>44019</v>
      </c>
      <c r="E22" s="115">
        <v>2</v>
      </c>
      <c r="F22" s="116">
        <f t="shared" si="35"/>
        <v>1066.6600000000001</v>
      </c>
      <c r="G22" s="116">
        <f t="shared" si="36"/>
        <v>762</v>
      </c>
      <c r="H22" s="117">
        <f t="shared" si="37"/>
        <v>1828.66</v>
      </c>
      <c r="I22" s="118">
        <v>13</v>
      </c>
      <c r="J22" s="88">
        <v>13</v>
      </c>
      <c r="L22" s="132">
        <v>46210</v>
      </c>
      <c r="M22" s="120"/>
      <c r="N22" s="121" t="str">
        <f t="shared" ca="1" si="23"/>
        <v>O.K.</v>
      </c>
      <c r="W22" s="1" t="s">
        <v>316</v>
      </c>
      <c r="X22" s="50">
        <v>0</v>
      </c>
      <c r="Y22" s="48">
        <v>0</v>
      </c>
      <c r="Z22" s="49">
        <v>0</v>
      </c>
      <c r="AA22" s="49">
        <v>0</v>
      </c>
      <c r="AB22" s="49">
        <v>0</v>
      </c>
      <c r="AC22" s="31">
        <v>0</v>
      </c>
      <c r="AD22" s="28">
        <f t="shared" si="38"/>
        <v>0</v>
      </c>
      <c r="AE22" s="52">
        <v>0</v>
      </c>
      <c r="AF22" s="52">
        <f>+(0)+(0)+(0)+(0)+(54)+(108)</f>
        <v>162</v>
      </c>
      <c r="AG22" s="49">
        <v>120</v>
      </c>
      <c r="AH22" s="22">
        <f t="shared" si="39"/>
        <v>42</v>
      </c>
      <c r="AI22" s="52">
        <f>+(0)+(0)+(0)+(0)+(0)+(0)</f>
        <v>0</v>
      </c>
      <c r="AJ22" s="52">
        <f>+(0)+(0)+(0)+(0)+(0)+(0)</f>
        <v>0</v>
      </c>
      <c r="AK22" s="49">
        <v>42</v>
      </c>
      <c r="AL22" s="31">
        <f t="shared" si="40"/>
        <v>0</v>
      </c>
      <c r="AM22" s="52">
        <f>+(0)+(0)+(0)+(0)+(0)+(0)</f>
        <v>0</v>
      </c>
      <c r="AN22" s="52">
        <f>+(78)+(30)+(0)+(0)+(67.2)+(0)</f>
        <v>175.2</v>
      </c>
      <c r="AO22" s="72">
        <v>120</v>
      </c>
      <c r="AP22" s="74">
        <f t="shared" si="41"/>
        <v>55.199999999999989</v>
      </c>
      <c r="AQ22" s="76">
        <f>+(0)+(0)+(0)+(0)+(0)+(0)</f>
        <v>0</v>
      </c>
      <c r="AR22" s="76">
        <f>+(0)+(96)+(0)+(0)+(0)+(0)</f>
        <v>96</v>
      </c>
      <c r="AS22" s="74">
        <v>120</v>
      </c>
      <c r="AT22" s="74">
        <f t="shared" si="42"/>
        <v>31.199999999999989</v>
      </c>
      <c r="AU22" s="73">
        <f>+(120)+(0)+(30)+(21)</f>
        <v>171</v>
      </c>
      <c r="AV22" s="73">
        <f>+(0)+(0)+(96)+(0)+(0)+(0)+(156)+(0)</f>
        <v>252</v>
      </c>
      <c r="AW22" s="73">
        <v>120</v>
      </c>
      <c r="AX22" s="73">
        <f>+AT22+AU22+AV22-AW22</f>
        <v>334.2</v>
      </c>
      <c r="AY22" s="109">
        <f>+(0)+(30)+(0)+(0)</f>
        <v>30</v>
      </c>
      <c r="AZ22" s="109">
        <f>+(0)+(0)+(0)+(0)+(75.6)+(0)+(0)+(0)</f>
        <v>75.599999999999994</v>
      </c>
      <c r="BA22" s="61">
        <v>120</v>
      </c>
      <c r="BB22" s="61">
        <f t="shared" si="43"/>
        <v>319.79999999999995</v>
      </c>
      <c r="BD22" s="88">
        <v>0</v>
      </c>
      <c r="BE22" s="88">
        <v>0</v>
      </c>
      <c r="BF22" s="88">
        <v>0</v>
      </c>
      <c r="BG22" s="88">
        <v>0</v>
      </c>
      <c r="BH22" s="88">
        <v>0</v>
      </c>
      <c r="BI22" s="88">
        <v>0</v>
      </c>
      <c r="BJ22" s="88">
        <v>0</v>
      </c>
      <c r="BK22" s="88">
        <v>0</v>
      </c>
      <c r="BL22" s="88">
        <v>0</v>
      </c>
      <c r="BM22" s="88">
        <v>0</v>
      </c>
      <c r="BN22" s="88">
        <v>0</v>
      </c>
      <c r="BO22" s="88">
        <v>0</v>
      </c>
      <c r="BP22" s="210">
        <v>120</v>
      </c>
      <c r="BQ22" s="208">
        <f t="shared" si="6"/>
        <v>199.79999999999995</v>
      </c>
      <c r="BR22" s="175">
        <f t="shared" si="7"/>
        <v>762</v>
      </c>
    </row>
    <row r="23" spans="1:70" ht="25.8" thickBot="1" x14ac:dyDescent="0.65">
      <c r="A23" s="64">
        <v>15</v>
      </c>
      <c r="B23" s="112" t="s">
        <v>210</v>
      </c>
      <c r="C23" s="113" t="s">
        <v>171</v>
      </c>
      <c r="D23" s="123">
        <v>42702</v>
      </c>
      <c r="E23" s="115">
        <v>4</v>
      </c>
      <c r="F23" s="116">
        <f t="shared" si="35"/>
        <v>2133.3200000000002</v>
      </c>
      <c r="G23" s="116">
        <f t="shared" si="36"/>
        <v>1117.8</v>
      </c>
      <c r="H23" s="117">
        <f t="shared" si="37"/>
        <v>3251.12</v>
      </c>
      <c r="I23" s="118">
        <v>11</v>
      </c>
      <c r="J23" s="88">
        <v>11</v>
      </c>
      <c r="L23" s="132">
        <v>46354</v>
      </c>
      <c r="M23" s="120"/>
      <c r="N23" s="121" t="str">
        <f t="shared" ca="1" si="23"/>
        <v>O.K.</v>
      </c>
      <c r="W23" s="1" t="s">
        <v>210</v>
      </c>
      <c r="X23" s="50">
        <v>0</v>
      </c>
      <c r="Y23" s="48">
        <v>0</v>
      </c>
      <c r="Z23" s="49">
        <v>96</v>
      </c>
      <c r="AA23" s="49">
        <v>120</v>
      </c>
      <c r="AB23" s="49">
        <v>120</v>
      </c>
      <c r="AC23" s="31">
        <v>156</v>
      </c>
      <c r="AD23" s="28">
        <f t="shared" si="38"/>
        <v>36</v>
      </c>
      <c r="AE23" s="52">
        <v>78</v>
      </c>
      <c r="AF23" s="52">
        <f>+(0)+(109.2)+(0)+(0)+(54)+(54)</f>
        <v>217.2</v>
      </c>
      <c r="AG23" s="49">
        <v>120</v>
      </c>
      <c r="AH23" s="22">
        <f t="shared" si="39"/>
        <v>211.2</v>
      </c>
      <c r="AI23" s="52">
        <f>+(0)+(0)+(0)+(0)+(0)+(0)</f>
        <v>0</v>
      </c>
      <c r="AJ23" s="52">
        <f>+(0)+(0)+(0)+(0)+(54.6)+(0)</f>
        <v>54.6</v>
      </c>
      <c r="AK23" s="49">
        <v>120</v>
      </c>
      <c r="AL23" s="31">
        <f t="shared" si="40"/>
        <v>145.80000000000001</v>
      </c>
      <c r="AM23" s="52">
        <f>+(0)+(0)+(0)+(0)+(0)+(0)</f>
        <v>0</v>
      </c>
      <c r="AN23" s="52">
        <f>+(0)+(0)+(0)+(0)+(0)+(96)</f>
        <v>96</v>
      </c>
      <c r="AO23" s="72">
        <v>120</v>
      </c>
      <c r="AP23" s="74">
        <f t="shared" si="41"/>
        <v>121.80000000000001</v>
      </c>
      <c r="AQ23" s="76">
        <f>+(0)+(0)+(0)+(0)+(0)+(0)</f>
        <v>0</v>
      </c>
      <c r="AR23" s="76">
        <f>+(0)+(96)+(0)+(0)+(0)+(0)</f>
        <v>96</v>
      </c>
      <c r="AS23" s="74">
        <v>120</v>
      </c>
      <c r="AT23" s="74">
        <f t="shared" si="42"/>
        <v>97.800000000000011</v>
      </c>
      <c r="AU23" s="73">
        <f t="shared" ref="AU23:AU399" si="44">+(0)+(0)+(0)+(0)</f>
        <v>0</v>
      </c>
      <c r="AV23" s="73">
        <f>+(0)+(0)+(96)+(0)+(0)+(0)+(0)+(0)</f>
        <v>96</v>
      </c>
      <c r="AW23" s="73">
        <v>120</v>
      </c>
      <c r="AX23" s="73">
        <f t="shared" ref="AX23:AX24" si="45">+AT23+AU23+AV23-AW23</f>
        <v>73.800000000000011</v>
      </c>
      <c r="AY23" s="109">
        <f>+(54)+(0)+(0)+(54)</f>
        <v>108</v>
      </c>
      <c r="AZ23" s="109">
        <f>+(0)+(0)+(0)+(0)+(0)+(0)+(0)+(0)</f>
        <v>0</v>
      </c>
      <c r="BA23" s="61">
        <v>120</v>
      </c>
      <c r="BB23" s="61">
        <f t="shared" si="43"/>
        <v>61.800000000000011</v>
      </c>
      <c r="BD23" s="88">
        <v>0</v>
      </c>
      <c r="BE23" s="88">
        <v>0</v>
      </c>
      <c r="BF23" s="88">
        <v>0</v>
      </c>
      <c r="BG23" s="88">
        <v>0</v>
      </c>
      <c r="BH23" s="88">
        <v>0</v>
      </c>
      <c r="BI23" s="88">
        <v>0</v>
      </c>
      <c r="BJ23" s="88">
        <v>0</v>
      </c>
      <c r="BK23" s="88">
        <v>0</v>
      </c>
      <c r="BL23" s="88">
        <v>0</v>
      </c>
      <c r="BM23" s="88">
        <v>0</v>
      </c>
      <c r="BN23" s="88">
        <v>0</v>
      </c>
      <c r="BO23" s="88">
        <v>0</v>
      </c>
      <c r="BP23" s="210">
        <v>61.8</v>
      </c>
      <c r="BQ23" s="208">
        <f t="shared" si="6"/>
        <v>0</v>
      </c>
      <c r="BR23" s="175">
        <f t="shared" si="7"/>
        <v>1117.8</v>
      </c>
    </row>
    <row r="24" spans="1:70" ht="25.8" thickBot="1" x14ac:dyDescent="0.65">
      <c r="A24" s="64">
        <v>16</v>
      </c>
      <c r="B24" s="112" t="s">
        <v>299</v>
      </c>
      <c r="C24" s="113" t="s">
        <v>19</v>
      </c>
      <c r="D24" s="114">
        <v>43878</v>
      </c>
      <c r="E24" s="115">
        <v>2</v>
      </c>
      <c r="F24" s="116">
        <f t="shared" si="35"/>
        <v>1066.6600000000001</v>
      </c>
      <c r="G24" s="116">
        <f t="shared" si="36"/>
        <v>762.6</v>
      </c>
      <c r="H24" s="117">
        <f t="shared" si="37"/>
        <v>1829.2600000000002</v>
      </c>
      <c r="I24" s="118">
        <v>13</v>
      </c>
      <c r="J24" s="88">
        <v>13</v>
      </c>
      <c r="L24" s="130">
        <v>46070</v>
      </c>
      <c r="M24" s="120"/>
      <c r="N24" s="121" t="str">
        <f t="shared" ca="1" si="23"/>
        <v>O.K.</v>
      </c>
      <c r="W24" s="1" t="s">
        <v>299</v>
      </c>
      <c r="X24" s="50">
        <v>0</v>
      </c>
      <c r="Y24" s="48">
        <v>0</v>
      </c>
      <c r="Z24" s="49">
        <v>0</v>
      </c>
      <c r="AA24" s="49">
        <v>0</v>
      </c>
      <c r="AB24" s="49">
        <v>0</v>
      </c>
      <c r="AC24" s="31">
        <v>0</v>
      </c>
      <c r="AD24" s="28">
        <f t="shared" si="38"/>
        <v>0</v>
      </c>
      <c r="AE24" s="52">
        <v>0</v>
      </c>
      <c r="AF24" s="52">
        <f>+(0)+(0)+(0)+(0)+(54)+(216)</f>
        <v>270</v>
      </c>
      <c r="AG24" s="49">
        <v>120</v>
      </c>
      <c r="AH24" s="22">
        <f t="shared" si="39"/>
        <v>150</v>
      </c>
      <c r="AI24" s="52">
        <f>+(0)+(0)+(0)+(0)+(0)+(0)</f>
        <v>0</v>
      </c>
      <c r="AJ24" s="52">
        <f>+(0)+(132.6)+(0)+(0)+(0)+(0)</f>
        <v>132.6</v>
      </c>
      <c r="AK24" s="49">
        <v>120</v>
      </c>
      <c r="AL24" s="31">
        <f t="shared" si="40"/>
        <v>162.60000000000002</v>
      </c>
      <c r="AM24" s="52">
        <f>+(0)+(0)+(0)+(0)+(0)+(0)</f>
        <v>0</v>
      </c>
      <c r="AN24" s="52">
        <f>+(0)+(0)+(0)+(0)+(0)+(0)</f>
        <v>0</v>
      </c>
      <c r="AO24" s="72">
        <v>120</v>
      </c>
      <c r="AP24" s="74">
        <f t="shared" si="41"/>
        <v>42.600000000000023</v>
      </c>
      <c r="AQ24" s="76">
        <f>+(0)+(0)+(0)+(0)+(0)+(0)</f>
        <v>0</v>
      </c>
      <c r="AR24" s="76">
        <f>+(0)+(0)+(0)+(0)+(0)+(0)</f>
        <v>0</v>
      </c>
      <c r="AS24" s="74">
        <v>42.6</v>
      </c>
      <c r="AT24" s="74">
        <f t="shared" si="42"/>
        <v>0</v>
      </c>
      <c r="AU24" s="73">
        <f>+(0)+(0)+(0)+(78)</f>
        <v>78</v>
      </c>
      <c r="AV24" s="73">
        <f>+(0)+(0)+(96)+(0)+(0)+(0)+(78)+(0)</f>
        <v>174</v>
      </c>
      <c r="AW24" s="73">
        <v>120</v>
      </c>
      <c r="AX24" s="73">
        <f t="shared" si="45"/>
        <v>132</v>
      </c>
      <c r="AY24" s="109">
        <f>+(0)+(21)+(0)+(0)</f>
        <v>21</v>
      </c>
      <c r="AZ24" s="109">
        <f>+(0)+(0)+(0)+(0)+(0)+(78)+(0)+(0)</f>
        <v>78</v>
      </c>
      <c r="BA24" s="61">
        <v>120</v>
      </c>
      <c r="BB24" s="61">
        <f t="shared" si="43"/>
        <v>111</v>
      </c>
      <c r="BD24" s="153">
        <v>78</v>
      </c>
      <c r="BE24" s="88">
        <v>0</v>
      </c>
      <c r="BF24" s="88">
        <v>0</v>
      </c>
      <c r="BG24" s="88">
        <v>0</v>
      </c>
      <c r="BH24" s="88">
        <v>0</v>
      </c>
      <c r="BI24" s="88">
        <v>0</v>
      </c>
      <c r="BJ24" s="88">
        <v>0</v>
      </c>
      <c r="BK24" s="88">
        <v>0</v>
      </c>
      <c r="BL24" s="88">
        <v>0</v>
      </c>
      <c r="BM24" s="88">
        <v>0</v>
      </c>
      <c r="BN24" s="88">
        <v>0</v>
      </c>
      <c r="BO24" s="88">
        <v>0</v>
      </c>
      <c r="BP24" s="210">
        <v>120</v>
      </c>
      <c r="BQ24" s="208">
        <f t="shared" si="6"/>
        <v>69</v>
      </c>
      <c r="BR24" s="175">
        <f t="shared" si="7"/>
        <v>762.6</v>
      </c>
    </row>
    <row r="25" spans="1:70" ht="25.8" thickBot="1" x14ac:dyDescent="0.65">
      <c r="A25" s="64">
        <v>17</v>
      </c>
      <c r="B25" s="166" t="s">
        <v>259</v>
      </c>
      <c r="C25" s="156" t="s">
        <v>171</v>
      </c>
      <c r="D25" s="167">
        <v>43009</v>
      </c>
      <c r="E25" s="168">
        <v>4</v>
      </c>
      <c r="F25" s="160">
        <f t="shared" si="35"/>
        <v>2133.3200000000002</v>
      </c>
      <c r="G25" s="160">
        <f t="shared" si="36"/>
        <v>1080</v>
      </c>
      <c r="H25" s="161">
        <f t="shared" si="37"/>
        <v>3213.32</v>
      </c>
      <c r="I25" s="162">
        <v>11</v>
      </c>
      <c r="J25" s="88">
        <v>11</v>
      </c>
      <c r="L25" s="163">
        <v>46661</v>
      </c>
      <c r="M25" s="164"/>
      <c r="N25" s="165" t="str">
        <f t="shared" ca="1" si="23"/>
        <v>O.K.</v>
      </c>
      <c r="W25" s="1" t="s">
        <v>259</v>
      </c>
      <c r="X25" s="50">
        <v>0</v>
      </c>
      <c r="Y25" s="48">
        <v>0</v>
      </c>
      <c r="Z25" s="49">
        <v>0</v>
      </c>
      <c r="AA25" s="49">
        <v>120</v>
      </c>
      <c r="AB25" s="49">
        <v>120</v>
      </c>
      <c r="AC25" s="31">
        <v>156</v>
      </c>
      <c r="AD25" s="28">
        <f t="shared" si="38"/>
        <v>36</v>
      </c>
      <c r="AE25" s="52">
        <f>54+78</f>
        <v>132</v>
      </c>
      <c r="AF25" s="52">
        <f>+(132.6)+(0)+(0)+(54)+(54)+(54)</f>
        <v>294.60000000000002</v>
      </c>
      <c r="AG25" s="49">
        <v>120</v>
      </c>
      <c r="AH25" s="22">
        <f t="shared" si="39"/>
        <v>342.6</v>
      </c>
      <c r="AI25" s="52">
        <f>+(0)+(0)+(0)+(0)+(78)+(0)</f>
        <v>78</v>
      </c>
      <c r="AJ25" s="52">
        <f>+(216)+(0)+(78)+(0)+(0)+(0)</f>
        <v>294</v>
      </c>
      <c r="AK25" s="49">
        <v>120</v>
      </c>
      <c r="AL25" s="31">
        <f t="shared" si="40"/>
        <v>594.6</v>
      </c>
      <c r="AM25" s="52">
        <f>+(0)+(0)+(0)+(0)+(0)+(0)</f>
        <v>0</v>
      </c>
      <c r="AN25" s="52">
        <f>+(0)+(78)+(0)+(0)+(138)+(0)</f>
        <v>216</v>
      </c>
      <c r="AO25" s="72">
        <v>120</v>
      </c>
      <c r="AP25" s="74">
        <f t="shared" si="41"/>
        <v>690.6</v>
      </c>
      <c r="AQ25" s="76">
        <f>+(0)+(0)+(0)+(0)+(0)+(0)</f>
        <v>0</v>
      </c>
      <c r="AR25" s="76">
        <f>+(0)+(174)+(0)+(0)+(0)+(0)</f>
        <v>174</v>
      </c>
      <c r="AS25" s="74">
        <v>120</v>
      </c>
      <c r="AT25" s="74">
        <f t="shared" si="42"/>
        <v>744.6</v>
      </c>
      <c r="AU25" s="73">
        <f>+(30)+(0)+(0)+(78)</f>
        <v>108</v>
      </c>
      <c r="AV25" s="73">
        <f>+(0)+(0)+(0)+(0)+(0)+(0)+(0)+(114)</f>
        <v>114</v>
      </c>
      <c r="AW25" s="74">
        <v>120</v>
      </c>
      <c r="AX25" s="74">
        <f t="shared" ref="AX25:AX31" si="46">+AT25+AU25+AV25-AW25</f>
        <v>846.6</v>
      </c>
      <c r="AY25" s="109">
        <f>+(0)+(0)+(0)+(0)</f>
        <v>0</v>
      </c>
      <c r="AZ25" s="109">
        <f>+(0)+(0)+(0)+(0)+(0)+(0)+(0)+(21)</f>
        <v>21</v>
      </c>
      <c r="BA25" s="61">
        <v>120</v>
      </c>
      <c r="BB25" s="61">
        <f t="shared" si="43"/>
        <v>747.6</v>
      </c>
      <c r="BD25" s="88">
        <v>0</v>
      </c>
      <c r="BE25" s="88">
        <v>0</v>
      </c>
      <c r="BF25" s="88">
        <v>0</v>
      </c>
      <c r="BG25" s="88">
        <v>0</v>
      </c>
      <c r="BH25" s="88">
        <v>0</v>
      </c>
      <c r="BI25" s="88">
        <v>0</v>
      </c>
      <c r="BJ25" s="88">
        <v>0</v>
      </c>
      <c r="BK25" s="88">
        <v>0</v>
      </c>
      <c r="BL25" s="88">
        <v>0</v>
      </c>
      <c r="BM25" s="88">
        <v>0</v>
      </c>
      <c r="BN25" s="88">
        <v>0</v>
      </c>
      <c r="BO25" s="88">
        <v>0</v>
      </c>
      <c r="BP25" s="210">
        <v>120</v>
      </c>
      <c r="BQ25" s="208">
        <f t="shared" si="6"/>
        <v>627.6</v>
      </c>
      <c r="BR25" s="175">
        <f t="shared" si="7"/>
        <v>1080</v>
      </c>
    </row>
    <row r="26" spans="1:70" ht="25.8" thickBot="1" x14ac:dyDescent="0.65">
      <c r="A26" s="64">
        <v>18</v>
      </c>
      <c r="B26" s="166" t="s">
        <v>336</v>
      </c>
      <c r="C26" s="156" t="s">
        <v>20</v>
      </c>
      <c r="D26" s="167">
        <v>44287</v>
      </c>
      <c r="E26" s="168">
        <v>2</v>
      </c>
      <c r="F26" s="160">
        <f t="shared" si="35"/>
        <v>1066.6600000000001</v>
      </c>
      <c r="G26" s="160">
        <f t="shared" si="36"/>
        <v>756</v>
      </c>
      <c r="H26" s="161">
        <f t="shared" si="37"/>
        <v>1822.66</v>
      </c>
      <c r="I26" s="162">
        <v>13</v>
      </c>
      <c r="J26" s="88">
        <v>13</v>
      </c>
      <c r="L26" s="163">
        <v>46478</v>
      </c>
      <c r="M26" s="164"/>
      <c r="N26" s="165" t="str">
        <f t="shared" ca="1" si="23"/>
        <v>O.K.</v>
      </c>
      <c r="W26" s="1" t="s">
        <v>336</v>
      </c>
      <c r="X26" s="50">
        <v>0</v>
      </c>
      <c r="Y26" s="48">
        <v>0</v>
      </c>
      <c r="Z26" s="49">
        <v>0</v>
      </c>
      <c r="AA26" s="49">
        <v>0</v>
      </c>
      <c r="AB26" s="49">
        <v>0</v>
      </c>
      <c r="AC26" s="31">
        <v>0</v>
      </c>
      <c r="AD26" s="28">
        <f t="shared" si="38"/>
        <v>0</v>
      </c>
      <c r="AE26" s="52">
        <v>0</v>
      </c>
      <c r="AF26" s="52">
        <v>0</v>
      </c>
      <c r="AG26" s="49">
        <v>0</v>
      </c>
      <c r="AH26" s="22">
        <f t="shared" si="39"/>
        <v>0</v>
      </c>
      <c r="AI26" s="52">
        <f t="shared" ref="AI26:AJ385" si="47">+(0)+(0)+(0)+(0)+(0)+(0)</f>
        <v>0</v>
      </c>
      <c r="AJ26" s="52">
        <f>+(0)+(156)+(0)+(0)+(0)+(0)</f>
        <v>156</v>
      </c>
      <c r="AK26" s="49">
        <v>150</v>
      </c>
      <c r="AL26" s="31">
        <f t="shared" si="40"/>
        <v>6</v>
      </c>
      <c r="AM26" s="52">
        <f t="shared" ref="AM26:AN399" si="48">+(0)+(0)+(0)+(0)+(0)+(0)</f>
        <v>0</v>
      </c>
      <c r="AN26" s="52">
        <f t="shared" si="48"/>
        <v>0</v>
      </c>
      <c r="AO26" s="72">
        <v>6</v>
      </c>
      <c r="AP26" s="74">
        <f t="shared" si="41"/>
        <v>0</v>
      </c>
      <c r="AQ26" s="76">
        <f t="shared" ref="AQ26:AR399" si="49">+(0)+(0)+(0)+(0)+(0)+(0)</f>
        <v>0</v>
      </c>
      <c r="AR26" s="76">
        <f>+(120)+(138)+(0)+(0)+(0)+(0)</f>
        <v>258</v>
      </c>
      <c r="AS26" s="74">
        <v>150</v>
      </c>
      <c r="AT26" s="74">
        <f t="shared" si="42"/>
        <v>108</v>
      </c>
      <c r="AU26" s="73">
        <f>+(0)+(0)+(0)+(156)</f>
        <v>156</v>
      </c>
      <c r="AV26" s="73">
        <f>+(0)+(54.6)+(0)+(0)+(0)+(0)+(0)+(0)</f>
        <v>54.6</v>
      </c>
      <c r="AW26" s="73">
        <v>150</v>
      </c>
      <c r="AX26" s="73">
        <f t="shared" si="46"/>
        <v>168.60000000000002</v>
      </c>
      <c r="AY26" s="109">
        <f>+(0)+(30)+(0)+(0)</f>
        <v>30</v>
      </c>
      <c r="AZ26" s="109">
        <f>+(0)+(0)+(0)+(0)+(108)+(0)+(0)+(0)</f>
        <v>108</v>
      </c>
      <c r="BA26" s="61">
        <v>150</v>
      </c>
      <c r="BB26" s="61">
        <f t="shared" si="43"/>
        <v>156.60000000000002</v>
      </c>
      <c r="BD26" s="88">
        <v>0</v>
      </c>
      <c r="BE26" s="88">
        <v>0</v>
      </c>
      <c r="BF26" s="88">
        <v>0</v>
      </c>
      <c r="BG26" s="88">
        <v>0</v>
      </c>
      <c r="BH26" s="88">
        <v>0</v>
      </c>
      <c r="BI26" s="88">
        <v>0</v>
      </c>
      <c r="BJ26" s="88">
        <v>0</v>
      </c>
      <c r="BK26" s="88">
        <v>0</v>
      </c>
      <c r="BL26" s="88">
        <v>0</v>
      </c>
      <c r="BM26" s="88">
        <v>0</v>
      </c>
      <c r="BN26" s="88">
        <v>0</v>
      </c>
      <c r="BO26" s="88">
        <v>0</v>
      </c>
      <c r="BP26" s="210">
        <v>150</v>
      </c>
      <c r="BQ26" s="208">
        <f t="shared" si="6"/>
        <v>6.6000000000000227</v>
      </c>
      <c r="BR26" s="175">
        <f t="shared" si="7"/>
        <v>756</v>
      </c>
    </row>
    <row r="27" spans="1:70" ht="25.8" thickBot="1" x14ac:dyDescent="0.65">
      <c r="A27" s="64">
        <v>19</v>
      </c>
      <c r="B27" s="166" t="s">
        <v>383</v>
      </c>
      <c r="C27" s="156" t="s">
        <v>23</v>
      </c>
      <c r="D27" s="167">
        <v>44952</v>
      </c>
      <c r="E27" s="168">
        <v>1</v>
      </c>
      <c r="F27" s="160">
        <f t="shared" ref="F27" si="50">+E27*$C$1</f>
        <v>533.33000000000004</v>
      </c>
      <c r="G27" s="160">
        <f t="shared" ref="G27" si="51">+BR27</f>
        <v>414</v>
      </c>
      <c r="H27" s="161">
        <f t="shared" ref="H27" si="52">+F27+G27</f>
        <v>947.33</v>
      </c>
      <c r="I27" s="162">
        <v>14</v>
      </c>
      <c r="J27" s="88">
        <v>14</v>
      </c>
      <c r="L27" s="163">
        <v>46413</v>
      </c>
      <c r="M27" s="164"/>
      <c r="N27" s="165" t="str">
        <f t="shared" ca="1" si="23"/>
        <v>O.K.</v>
      </c>
      <c r="W27" s="1" t="s">
        <v>383</v>
      </c>
      <c r="X27" s="50">
        <v>0</v>
      </c>
      <c r="Y27" s="48">
        <v>0</v>
      </c>
      <c r="Z27" s="49">
        <v>0</v>
      </c>
      <c r="AA27" s="49">
        <v>0</v>
      </c>
      <c r="AB27" s="49">
        <v>0</v>
      </c>
      <c r="AC27" s="31">
        <v>0</v>
      </c>
      <c r="AD27" s="28">
        <f t="shared" si="38"/>
        <v>0</v>
      </c>
      <c r="AE27" s="52">
        <v>0</v>
      </c>
      <c r="AF27" s="52">
        <v>0</v>
      </c>
      <c r="AG27" s="49">
        <v>0</v>
      </c>
      <c r="AH27" s="22">
        <f t="shared" si="39"/>
        <v>0</v>
      </c>
      <c r="AI27" s="52">
        <v>0</v>
      </c>
      <c r="AJ27" s="52">
        <v>0</v>
      </c>
      <c r="AK27" s="49">
        <v>0</v>
      </c>
      <c r="AL27" s="31">
        <f t="shared" si="40"/>
        <v>0</v>
      </c>
      <c r="AM27" s="52">
        <v>0</v>
      </c>
      <c r="AN27" s="52">
        <v>0</v>
      </c>
      <c r="AO27" s="72">
        <v>0</v>
      </c>
      <c r="AP27" s="74">
        <f t="shared" si="41"/>
        <v>0</v>
      </c>
      <c r="AQ27" s="76">
        <f>+(0)+(0)+(0)+(0)+(54)+(0)</f>
        <v>54</v>
      </c>
      <c r="AR27" s="76">
        <f t="shared" si="49"/>
        <v>0</v>
      </c>
      <c r="AS27" s="74">
        <v>54</v>
      </c>
      <c r="AT27" s="74">
        <f t="shared" si="42"/>
        <v>0</v>
      </c>
      <c r="AU27" s="73">
        <f>+(0)+(0)+(0)+(114.6)</f>
        <v>114.6</v>
      </c>
      <c r="AV27" s="73">
        <f>+(218.4)+(0)+(96)+(0)+(0)+(30)+(78)+(0)</f>
        <v>422.4</v>
      </c>
      <c r="AW27" s="73">
        <v>120</v>
      </c>
      <c r="AX27" s="73">
        <f t="shared" si="46"/>
        <v>417</v>
      </c>
      <c r="AY27" s="109">
        <f>+(78)+(0)+(0)+(84.6)</f>
        <v>162.6</v>
      </c>
      <c r="AZ27" s="109">
        <f>+(21)+(30)+(0)+(0)+(0)+(0)+(0)+(0)</f>
        <v>51</v>
      </c>
      <c r="BA27" s="61">
        <v>120</v>
      </c>
      <c r="BB27" s="61">
        <f t="shared" si="43"/>
        <v>510.6</v>
      </c>
      <c r="BD27" s="153">
        <v>24</v>
      </c>
      <c r="BE27" s="88">
        <v>0</v>
      </c>
      <c r="BF27" s="88">
        <v>0</v>
      </c>
      <c r="BG27" s="88">
        <v>0</v>
      </c>
      <c r="BH27" s="88">
        <v>0</v>
      </c>
      <c r="BI27" s="88">
        <v>0</v>
      </c>
      <c r="BJ27" s="88">
        <v>0</v>
      </c>
      <c r="BK27" s="88">
        <v>0</v>
      </c>
      <c r="BL27" s="88">
        <v>0</v>
      </c>
      <c r="BM27" s="88">
        <v>0</v>
      </c>
      <c r="BN27" s="88">
        <v>0</v>
      </c>
      <c r="BO27" s="88">
        <v>0</v>
      </c>
      <c r="BP27" s="210">
        <v>120</v>
      </c>
      <c r="BQ27" s="208">
        <f t="shared" si="6"/>
        <v>414.6</v>
      </c>
      <c r="BR27" s="175">
        <f t="shared" si="7"/>
        <v>414</v>
      </c>
    </row>
    <row r="28" spans="1:70" ht="25.8" thickBot="1" x14ac:dyDescent="0.65">
      <c r="A28" s="64">
        <v>20</v>
      </c>
      <c r="B28" s="155" t="s">
        <v>276</v>
      </c>
      <c r="C28" s="156" t="s">
        <v>21</v>
      </c>
      <c r="D28" s="157">
        <v>43709</v>
      </c>
      <c r="E28" s="158">
        <v>4</v>
      </c>
      <c r="F28" s="159">
        <f>+E28*$C$1</f>
        <v>2133.3200000000002</v>
      </c>
      <c r="G28" s="160">
        <f>+BR28</f>
        <v>1592.9</v>
      </c>
      <c r="H28" s="161">
        <f>+F28+G28</f>
        <v>3726.2200000000003</v>
      </c>
      <c r="I28" s="162">
        <v>11</v>
      </c>
      <c r="J28" s="88">
        <v>11</v>
      </c>
      <c r="L28" s="163">
        <v>46388</v>
      </c>
      <c r="M28" s="164"/>
      <c r="N28" s="165" t="str">
        <f t="shared" ca="1" si="23"/>
        <v>O.K.</v>
      </c>
      <c r="W28" s="1" t="s">
        <v>276</v>
      </c>
      <c r="X28" s="50">
        <v>542.9</v>
      </c>
      <c r="Y28" s="48">
        <v>0</v>
      </c>
      <c r="Z28" s="49">
        <v>0</v>
      </c>
      <c r="AA28" s="49">
        <v>0</v>
      </c>
      <c r="AB28" s="49">
        <v>0</v>
      </c>
      <c r="AC28" s="31">
        <v>0</v>
      </c>
      <c r="AD28" s="28">
        <f t="shared" si="38"/>
        <v>0</v>
      </c>
      <c r="AE28" s="52">
        <f>120+174+78+264.6</f>
        <v>636.6</v>
      </c>
      <c r="AF28" s="52">
        <f>+(108)+(174)+(0)+(0)+(186.6)+(54)</f>
        <v>522.6</v>
      </c>
      <c r="AG28" s="49">
        <v>150</v>
      </c>
      <c r="AH28" s="22">
        <f t="shared" si="39"/>
        <v>1009.2</v>
      </c>
      <c r="AI28" s="52">
        <f>+(0)+(0)+(0)+(0)+(192.6)+(234)</f>
        <v>426.6</v>
      </c>
      <c r="AJ28" s="52">
        <f>+(420)+(0)+(132)+(0)+(78)+(0)</f>
        <v>630</v>
      </c>
      <c r="AK28" s="49">
        <v>150</v>
      </c>
      <c r="AL28" s="31">
        <f t="shared" si="40"/>
        <v>1915.8000000000002</v>
      </c>
      <c r="AM28" s="52">
        <f>+(0)+(120)+(0)+(78)+(0)+(0)</f>
        <v>198</v>
      </c>
      <c r="AN28" s="52">
        <f>+(0)+(0)+(216)+(0)+(0)+(0)</f>
        <v>216</v>
      </c>
      <c r="AO28" s="72">
        <v>150</v>
      </c>
      <c r="AP28" s="74">
        <f t="shared" si="41"/>
        <v>2179.8000000000002</v>
      </c>
      <c r="AQ28" s="76">
        <f>+(108)+(0)+(0)+(0)+(0)+(0)</f>
        <v>108</v>
      </c>
      <c r="AR28" s="76">
        <f t="shared" si="49"/>
        <v>0</v>
      </c>
      <c r="AS28" s="74">
        <v>150</v>
      </c>
      <c r="AT28" s="74">
        <f t="shared" si="42"/>
        <v>2137.8000000000002</v>
      </c>
      <c r="AU28" s="73">
        <f>+(0)+(0)+(0)+(0)</f>
        <v>0</v>
      </c>
      <c r="AV28" s="73">
        <f>+(0)+(108)+(0)+(0)+(0)+(0)+(0)+(0)</f>
        <v>108</v>
      </c>
      <c r="AW28" s="73">
        <v>150</v>
      </c>
      <c r="AX28" s="73">
        <f t="shared" si="46"/>
        <v>2095.8000000000002</v>
      </c>
      <c r="AY28" s="109">
        <f>+(0)+(0)+(0)+(78)</f>
        <v>78</v>
      </c>
      <c r="AZ28" s="109">
        <f>+(0)+(0)+(78)+(0)+(0)+(0)+(265.2)+(78)</f>
        <v>421.2</v>
      </c>
      <c r="BA28" s="61">
        <v>150</v>
      </c>
      <c r="BB28" s="61">
        <f t="shared" si="43"/>
        <v>2445</v>
      </c>
      <c r="BD28" s="153">
        <v>30</v>
      </c>
      <c r="BE28" s="88">
        <v>0</v>
      </c>
      <c r="BF28" s="88">
        <v>0</v>
      </c>
      <c r="BG28" s="88">
        <v>0</v>
      </c>
      <c r="BH28" s="88">
        <v>0</v>
      </c>
      <c r="BI28" s="88">
        <v>0</v>
      </c>
      <c r="BJ28" s="88">
        <v>0</v>
      </c>
      <c r="BK28" s="88">
        <v>0</v>
      </c>
      <c r="BL28" s="88">
        <v>0</v>
      </c>
      <c r="BM28" s="88">
        <v>0</v>
      </c>
      <c r="BN28" s="88">
        <v>0</v>
      </c>
      <c r="BO28" s="88">
        <v>0</v>
      </c>
      <c r="BP28" s="210">
        <v>150</v>
      </c>
      <c r="BQ28" s="208">
        <f t="shared" si="6"/>
        <v>2325</v>
      </c>
      <c r="BR28" s="175">
        <f t="shared" si="7"/>
        <v>1592.9</v>
      </c>
    </row>
    <row r="29" spans="1:70" ht="25.8" thickBot="1" x14ac:dyDescent="0.65">
      <c r="A29" s="64">
        <v>21</v>
      </c>
      <c r="B29" s="112" t="s">
        <v>36</v>
      </c>
      <c r="C29" s="113" t="s">
        <v>23</v>
      </c>
      <c r="D29" s="112" t="s">
        <v>120</v>
      </c>
      <c r="E29" s="115">
        <v>7</v>
      </c>
      <c r="F29" s="116">
        <f>+E29*$C$1</f>
        <v>3733.3100000000004</v>
      </c>
      <c r="G29" s="116">
        <f>+BR29</f>
        <v>1992</v>
      </c>
      <c r="H29" s="117">
        <f>+F29+G29</f>
        <v>5725.31</v>
      </c>
      <c r="I29" s="118">
        <v>8</v>
      </c>
      <c r="J29" s="88">
        <v>8</v>
      </c>
      <c r="L29" s="119">
        <v>46054</v>
      </c>
      <c r="M29" s="120"/>
      <c r="N29" s="121" t="str">
        <f t="shared" ca="1" si="23"/>
        <v>O.K.</v>
      </c>
      <c r="W29" s="1" t="s">
        <v>36</v>
      </c>
      <c r="X29" s="50">
        <v>720</v>
      </c>
      <c r="Y29" s="48">
        <v>96</v>
      </c>
      <c r="Z29" s="49">
        <v>96</v>
      </c>
      <c r="AA29" s="49">
        <v>120</v>
      </c>
      <c r="AB29" s="49">
        <v>120</v>
      </c>
      <c r="AC29" s="31">
        <v>156</v>
      </c>
      <c r="AD29" s="28">
        <f t="shared" si="38"/>
        <v>36</v>
      </c>
      <c r="AE29" s="52">
        <v>108.6</v>
      </c>
      <c r="AF29" s="52">
        <f>+(37.8)+(0)+(0)+(0)+(54)+(54)</f>
        <v>145.80000000000001</v>
      </c>
      <c r="AG29" s="49">
        <v>120</v>
      </c>
      <c r="AH29" s="22">
        <f t="shared" si="39"/>
        <v>170.39999999999998</v>
      </c>
      <c r="AI29" s="52">
        <f>+(0)+(0)+(0)+(0)+(156)+(0)</f>
        <v>156</v>
      </c>
      <c r="AJ29" s="52">
        <f>+(0)+(0)+(216)+(0)+(19.2)+(0)</f>
        <v>235.2</v>
      </c>
      <c r="AK29" s="49">
        <v>120</v>
      </c>
      <c r="AL29" s="31">
        <f t="shared" si="40"/>
        <v>441.59999999999991</v>
      </c>
      <c r="AM29" s="52">
        <f>+(0)+(0)+(0)+(0)+(0)+(30)</f>
        <v>30</v>
      </c>
      <c r="AN29" s="52">
        <f t="shared" si="48"/>
        <v>0</v>
      </c>
      <c r="AO29" s="72">
        <v>120</v>
      </c>
      <c r="AP29" s="74">
        <f t="shared" si="41"/>
        <v>351.59999999999991</v>
      </c>
      <c r="AQ29" s="76">
        <f t="shared" si="49"/>
        <v>0</v>
      </c>
      <c r="AR29" s="76">
        <f>+(0)+(30)+(0)+(0)+(0)+(0)</f>
        <v>30</v>
      </c>
      <c r="AS29" s="74">
        <v>120</v>
      </c>
      <c r="AT29" s="74">
        <f t="shared" si="42"/>
        <v>261.59999999999991</v>
      </c>
      <c r="AU29" s="73">
        <f t="shared" si="44"/>
        <v>0</v>
      </c>
      <c r="AV29" s="73">
        <f>+(0)+(0)+(0)+(0)+(60)+(0)+(0)+(0)</f>
        <v>60</v>
      </c>
      <c r="AW29" s="73">
        <v>120</v>
      </c>
      <c r="AX29" s="73">
        <f t="shared" si="46"/>
        <v>201.59999999999991</v>
      </c>
      <c r="AY29" s="109">
        <f>+(0)+(0)+(0)+(54)</f>
        <v>54</v>
      </c>
      <c r="AZ29" s="109">
        <f>+(0)+(0)+(0)+(0)+(0)+(0)+(0)+(0)</f>
        <v>0</v>
      </c>
      <c r="BA29" s="61">
        <v>120</v>
      </c>
      <c r="BB29" s="61">
        <f t="shared" si="43"/>
        <v>135.59999999999991</v>
      </c>
      <c r="BD29" s="88">
        <v>0</v>
      </c>
      <c r="BE29" s="88">
        <v>0</v>
      </c>
      <c r="BF29" s="88">
        <v>0</v>
      </c>
      <c r="BG29" s="88">
        <v>0</v>
      </c>
      <c r="BH29" s="88">
        <v>0</v>
      </c>
      <c r="BI29" s="88">
        <v>0</v>
      </c>
      <c r="BJ29" s="88">
        <v>0</v>
      </c>
      <c r="BK29" s="88">
        <v>0</v>
      </c>
      <c r="BL29" s="88">
        <v>0</v>
      </c>
      <c r="BM29" s="88">
        <v>0</v>
      </c>
      <c r="BN29" s="88">
        <v>0</v>
      </c>
      <c r="BO29" s="88">
        <v>0</v>
      </c>
      <c r="BP29" s="210">
        <v>120</v>
      </c>
      <c r="BQ29" s="208">
        <f t="shared" si="6"/>
        <v>15.599999999999909</v>
      </c>
      <c r="BR29" s="175">
        <f t="shared" si="7"/>
        <v>1992</v>
      </c>
    </row>
    <row r="30" spans="1:70" ht="25.8" thickBot="1" x14ac:dyDescent="0.65">
      <c r="A30" s="64">
        <v>22</v>
      </c>
      <c r="B30" s="166" t="s">
        <v>391</v>
      </c>
      <c r="C30" s="156" t="s">
        <v>171</v>
      </c>
      <c r="D30" s="167">
        <v>44927</v>
      </c>
      <c r="E30" s="168">
        <v>2</v>
      </c>
      <c r="F30" s="160">
        <f t="shared" ref="F30" si="53">+E30*$C$1</f>
        <v>1066.6600000000001</v>
      </c>
      <c r="G30" s="160">
        <f t="shared" ref="G30" si="54">+BR30</f>
        <v>480</v>
      </c>
      <c r="H30" s="161">
        <f t="shared" ref="H30" si="55">+F30+G30</f>
        <v>1546.66</v>
      </c>
      <c r="I30" s="162">
        <v>13</v>
      </c>
      <c r="J30" s="88">
        <v>13</v>
      </c>
      <c r="K30" s="212" t="s">
        <v>315</v>
      </c>
      <c r="L30" s="173">
        <v>46580</v>
      </c>
      <c r="M30" s="164"/>
      <c r="N30" s="165" t="str">
        <f t="shared" ca="1" si="23"/>
        <v>O.K.</v>
      </c>
      <c r="W30" s="1" t="s">
        <v>391</v>
      </c>
      <c r="X30" s="50">
        <v>0</v>
      </c>
      <c r="Y30" s="48">
        <v>0</v>
      </c>
      <c r="Z30" s="49">
        <v>0</v>
      </c>
      <c r="AA30" s="49">
        <v>0</v>
      </c>
      <c r="AB30" s="49">
        <v>0</v>
      </c>
      <c r="AC30" s="31">
        <v>0</v>
      </c>
      <c r="AD30" s="28">
        <f t="shared" si="38"/>
        <v>0</v>
      </c>
      <c r="AE30" s="52">
        <v>0</v>
      </c>
      <c r="AF30" s="52">
        <v>0</v>
      </c>
      <c r="AG30" s="49">
        <v>0</v>
      </c>
      <c r="AH30" s="22">
        <f t="shared" si="39"/>
        <v>0</v>
      </c>
      <c r="AI30" s="52">
        <v>0</v>
      </c>
      <c r="AJ30" s="52">
        <v>0</v>
      </c>
      <c r="AK30" s="49">
        <v>0</v>
      </c>
      <c r="AL30" s="31">
        <f t="shared" si="40"/>
        <v>0</v>
      </c>
      <c r="AM30" s="52">
        <v>0</v>
      </c>
      <c r="AN30" s="52">
        <v>0</v>
      </c>
      <c r="AO30" s="72">
        <v>0</v>
      </c>
      <c r="AP30" s="74">
        <f t="shared" si="41"/>
        <v>0</v>
      </c>
      <c r="AQ30" s="76">
        <f t="shared" si="49"/>
        <v>0</v>
      </c>
      <c r="AR30" s="76">
        <f>+(0)+(121.2)+(0)+(0)+(0)+(0)</f>
        <v>121.2</v>
      </c>
      <c r="AS30" s="74">
        <v>120</v>
      </c>
      <c r="AT30" s="74">
        <f t="shared" si="42"/>
        <v>1.2000000000000028</v>
      </c>
      <c r="AU30" s="73">
        <f>+(0)+(0)+(0)+(138)</f>
        <v>138</v>
      </c>
      <c r="AV30" s="73">
        <f>+(0)+(0)+(0)+(84)+(186)+(37.8)+(0)+(108)</f>
        <v>415.8</v>
      </c>
      <c r="AW30" s="74">
        <v>120</v>
      </c>
      <c r="AX30" s="74">
        <f t="shared" si="46"/>
        <v>435</v>
      </c>
      <c r="AY30" s="109">
        <f>+(0)+(0)+(0)+(0)</f>
        <v>0</v>
      </c>
      <c r="AZ30" s="109">
        <f>+(114.6)+(0)+(0)+(0)+(0)+(0)+(78)+(78)</f>
        <v>270.60000000000002</v>
      </c>
      <c r="BA30" s="61">
        <v>120</v>
      </c>
      <c r="BB30" s="61">
        <f t="shared" si="43"/>
        <v>585.6</v>
      </c>
      <c r="BD30" s="88">
        <v>0</v>
      </c>
      <c r="BE30" s="88">
        <v>0</v>
      </c>
      <c r="BF30" s="88">
        <v>0</v>
      </c>
      <c r="BG30" s="88">
        <v>0</v>
      </c>
      <c r="BH30" s="88">
        <v>0</v>
      </c>
      <c r="BI30" s="88">
        <v>0</v>
      </c>
      <c r="BJ30" s="88">
        <v>0</v>
      </c>
      <c r="BK30" s="88">
        <v>0</v>
      </c>
      <c r="BL30" s="88">
        <v>0</v>
      </c>
      <c r="BM30" s="88">
        <v>0</v>
      </c>
      <c r="BN30" s="88">
        <v>0</v>
      </c>
      <c r="BO30" s="88">
        <v>0</v>
      </c>
      <c r="BP30" s="210">
        <v>120</v>
      </c>
      <c r="BQ30" s="208">
        <f t="shared" si="6"/>
        <v>465.6</v>
      </c>
      <c r="BR30" s="175">
        <f t="shared" si="7"/>
        <v>480</v>
      </c>
    </row>
    <row r="31" spans="1:70" ht="25.8" thickBot="1" x14ac:dyDescent="0.65">
      <c r="A31" s="64">
        <v>23</v>
      </c>
      <c r="B31" s="166" t="s">
        <v>341</v>
      </c>
      <c r="C31" s="156" t="s">
        <v>23</v>
      </c>
      <c r="D31" s="167">
        <v>44501</v>
      </c>
      <c r="E31" s="168">
        <v>2</v>
      </c>
      <c r="F31" s="160">
        <f t="shared" ref="F31:F35" si="56">+E31*$C$1</f>
        <v>1066.6600000000001</v>
      </c>
      <c r="G31" s="160">
        <f t="shared" ref="G31:G35" si="57">+BR31</f>
        <v>600</v>
      </c>
      <c r="H31" s="161">
        <f t="shared" ref="H31:H35" si="58">+F31+G31</f>
        <v>1666.66</v>
      </c>
      <c r="I31" s="162">
        <v>13</v>
      </c>
      <c r="J31" s="88">
        <v>13</v>
      </c>
      <c r="L31" s="173">
        <v>46692</v>
      </c>
      <c r="M31" s="164"/>
      <c r="N31" s="165" t="str">
        <f t="shared" ca="1" si="23"/>
        <v>O.K.</v>
      </c>
      <c r="W31" s="1" t="s">
        <v>341</v>
      </c>
      <c r="X31" s="50">
        <v>0</v>
      </c>
      <c r="Y31" s="48">
        <v>0</v>
      </c>
      <c r="Z31" s="49">
        <v>0</v>
      </c>
      <c r="AA31" s="49">
        <v>0</v>
      </c>
      <c r="AB31" s="49">
        <v>0</v>
      </c>
      <c r="AC31" s="31">
        <v>0</v>
      </c>
      <c r="AD31" s="28">
        <f t="shared" si="38"/>
        <v>0</v>
      </c>
      <c r="AE31" s="52">
        <v>0</v>
      </c>
      <c r="AF31" s="52">
        <v>0</v>
      </c>
      <c r="AG31" s="49">
        <v>0</v>
      </c>
      <c r="AH31" s="22">
        <f t="shared" si="39"/>
        <v>0</v>
      </c>
      <c r="AI31" s="52">
        <f t="shared" si="47"/>
        <v>0</v>
      </c>
      <c r="AJ31" s="52">
        <f t="shared" si="47"/>
        <v>0</v>
      </c>
      <c r="AK31" s="49">
        <v>0</v>
      </c>
      <c r="AL31" s="31">
        <f t="shared" si="40"/>
        <v>0</v>
      </c>
      <c r="AM31" s="52">
        <f t="shared" si="48"/>
        <v>0</v>
      </c>
      <c r="AN31" s="52">
        <f>+(0)+(78)+(0)+(0)+(96)+(204)</f>
        <v>378</v>
      </c>
      <c r="AO31" s="72">
        <v>120</v>
      </c>
      <c r="AP31" s="74">
        <f t="shared" si="41"/>
        <v>258</v>
      </c>
      <c r="AQ31" s="76">
        <f>+(0)+(0)+(0)+(78)+(54)+(120)</f>
        <v>252</v>
      </c>
      <c r="AR31" s="76">
        <f t="shared" si="49"/>
        <v>0</v>
      </c>
      <c r="AS31" s="74">
        <v>120</v>
      </c>
      <c r="AT31" s="74">
        <f t="shared" si="42"/>
        <v>390</v>
      </c>
      <c r="AU31" s="73">
        <f>+(108)+(0)+(0)+(21.6)</f>
        <v>129.6</v>
      </c>
      <c r="AV31" s="73">
        <f>+(0)+(0)+(96)+(0)+(0)+(0)+(108)+(108)</f>
        <v>312</v>
      </c>
      <c r="AW31" s="74">
        <v>120</v>
      </c>
      <c r="AX31" s="74">
        <f t="shared" si="46"/>
        <v>711.6</v>
      </c>
      <c r="AY31" s="109">
        <f>+(0)+(0)+(0)+(0)</f>
        <v>0</v>
      </c>
      <c r="AZ31" s="109">
        <f>+(0)+(0)+(0)+(0)+(108)+(108)+(0)+(96)</f>
        <v>312</v>
      </c>
      <c r="BA31" s="61">
        <v>120</v>
      </c>
      <c r="BB31" s="61">
        <f t="shared" si="43"/>
        <v>903.6</v>
      </c>
      <c r="BD31" s="153">
        <v>30</v>
      </c>
      <c r="BE31" s="88">
        <v>0</v>
      </c>
      <c r="BF31" s="88">
        <v>0</v>
      </c>
      <c r="BG31" s="88">
        <v>0</v>
      </c>
      <c r="BH31" s="88">
        <v>0</v>
      </c>
      <c r="BI31" s="88">
        <v>0</v>
      </c>
      <c r="BJ31" s="88">
        <v>0</v>
      </c>
      <c r="BK31" s="88">
        <v>0</v>
      </c>
      <c r="BL31" s="88">
        <v>0</v>
      </c>
      <c r="BM31" s="88">
        <v>0</v>
      </c>
      <c r="BN31" s="88">
        <v>0</v>
      </c>
      <c r="BO31" s="88">
        <v>0</v>
      </c>
      <c r="BP31" s="210">
        <v>120</v>
      </c>
      <c r="BQ31" s="208">
        <f t="shared" si="6"/>
        <v>813.6</v>
      </c>
      <c r="BR31" s="175">
        <f t="shared" si="7"/>
        <v>600</v>
      </c>
    </row>
    <row r="32" spans="1:70" ht="25.8" thickBot="1" x14ac:dyDescent="0.65">
      <c r="A32" s="64">
        <v>24</v>
      </c>
      <c r="B32" s="166" t="s">
        <v>464</v>
      </c>
      <c r="C32" s="156" t="s">
        <v>21</v>
      </c>
      <c r="D32" s="166" t="s">
        <v>465</v>
      </c>
      <c r="E32" s="168">
        <v>12</v>
      </c>
      <c r="F32" s="160">
        <f t="shared" si="56"/>
        <v>6399.9600000000009</v>
      </c>
      <c r="G32" s="160">
        <f t="shared" si="57"/>
        <v>3523.5</v>
      </c>
      <c r="H32" s="161">
        <f t="shared" si="58"/>
        <v>9923.4600000000009</v>
      </c>
      <c r="I32" s="162">
        <v>4</v>
      </c>
      <c r="J32" s="21">
        <v>4</v>
      </c>
      <c r="L32" s="173">
        <v>46388</v>
      </c>
      <c r="M32" s="164"/>
      <c r="N32" s="165" t="str">
        <f t="shared" ca="1" si="23"/>
        <v>O.K.</v>
      </c>
      <c r="W32" s="1" t="s">
        <v>464</v>
      </c>
      <c r="X32" s="50">
        <v>2100</v>
      </c>
      <c r="Y32" s="48">
        <v>96</v>
      </c>
      <c r="Z32" s="49">
        <v>127.5</v>
      </c>
      <c r="AA32" s="49">
        <v>150</v>
      </c>
      <c r="AB32" s="49">
        <v>150</v>
      </c>
      <c r="AC32" s="31">
        <v>240</v>
      </c>
      <c r="AD32" s="28">
        <f t="shared" si="38"/>
        <v>90</v>
      </c>
      <c r="AE32" s="52">
        <v>96</v>
      </c>
      <c r="AF32" s="52">
        <f>+(0)+(0)+(0)+(0)+(78)+(0)</f>
        <v>78</v>
      </c>
      <c r="AG32" s="49">
        <v>150</v>
      </c>
      <c r="AH32" s="22">
        <f t="shared" si="39"/>
        <v>114</v>
      </c>
      <c r="AI32" s="52">
        <f t="shared" si="47"/>
        <v>0</v>
      </c>
      <c r="AJ32" s="52">
        <f>+(0)+(0)+(156)+(0)+(0)+(0)</f>
        <v>156</v>
      </c>
      <c r="AK32" s="49">
        <v>150</v>
      </c>
      <c r="AL32" s="31">
        <f t="shared" si="40"/>
        <v>120</v>
      </c>
      <c r="AM32" s="52">
        <f t="shared" si="48"/>
        <v>0</v>
      </c>
      <c r="AN32" s="52">
        <f t="shared" si="48"/>
        <v>0</v>
      </c>
      <c r="AO32" s="85">
        <v>120</v>
      </c>
      <c r="AP32" s="174">
        <f t="shared" si="41"/>
        <v>0</v>
      </c>
      <c r="AQ32" s="76">
        <f>+(108)+(0)+(0)+(0)+(54)+(120)</f>
        <v>282</v>
      </c>
      <c r="AR32" s="76">
        <f>+(120)+(0)+(0)+(0)+(0)+(0)</f>
        <v>120</v>
      </c>
      <c r="AS32" s="74">
        <v>150</v>
      </c>
      <c r="AT32" s="174">
        <f t="shared" si="42"/>
        <v>252</v>
      </c>
      <c r="AU32" s="31">
        <f t="shared" ref="AU32" si="59">+(0)+(0)+(0)+(0)</f>
        <v>0</v>
      </c>
      <c r="AV32" s="31">
        <f t="shared" ref="AV32" si="60">+(0)+(0)+(0)+(0)+(0)+(0)+(0)+(0)</f>
        <v>0</v>
      </c>
      <c r="AW32" s="31">
        <v>150</v>
      </c>
      <c r="AX32" s="31">
        <f t="shared" ref="AX32" si="61">+AT32+AU32+AV32-AW32</f>
        <v>102</v>
      </c>
      <c r="AY32" s="109">
        <f>+(0)+(0)+(0)+(0)</f>
        <v>0</v>
      </c>
      <c r="AZ32" s="109">
        <f>+(0)+(0)+(78)+(0)+(0)+(0)+(0)+(0)</f>
        <v>78</v>
      </c>
      <c r="BA32" s="61">
        <v>150</v>
      </c>
      <c r="BB32" s="61">
        <f t="shared" si="43"/>
        <v>30</v>
      </c>
      <c r="BD32" s="88">
        <v>0</v>
      </c>
      <c r="BE32" s="88">
        <v>0</v>
      </c>
      <c r="BF32" s="88">
        <v>0</v>
      </c>
      <c r="BG32" s="88">
        <v>0</v>
      </c>
      <c r="BH32" s="88">
        <v>0</v>
      </c>
      <c r="BI32" s="88">
        <v>0</v>
      </c>
      <c r="BJ32" s="88">
        <v>0</v>
      </c>
      <c r="BK32" s="88">
        <v>0</v>
      </c>
      <c r="BL32" s="88">
        <v>0</v>
      </c>
      <c r="BM32" s="88">
        <v>0</v>
      </c>
      <c r="BN32" s="88">
        <v>0</v>
      </c>
      <c r="BO32" s="88">
        <v>0</v>
      </c>
      <c r="BP32" s="210">
        <v>30</v>
      </c>
      <c r="BQ32" s="208">
        <f t="shared" si="6"/>
        <v>0</v>
      </c>
      <c r="BR32" s="175">
        <f t="shared" si="7"/>
        <v>3523.5</v>
      </c>
    </row>
    <row r="33" spans="1:70" ht="25.8" thickBot="1" x14ac:dyDescent="0.65">
      <c r="A33" s="64">
        <v>25</v>
      </c>
      <c r="B33" s="112" t="s">
        <v>349</v>
      </c>
      <c r="C33" s="113" t="s">
        <v>20</v>
      </c>
      <c r="D33" s="114">
        <v>44562</v>
      </c>
      <c r="E33" s="115">
        <v>1</v>
      </c>
      <c r="F33" s="116">
        <f t="shared" si="56"/>
        <v>533.33000000000004</v>
      </c>
      <c r="G33" s="116">
        <f t="shared" si="57"/>
        <v>750</v>
      </c>
      <c r="H33" s="117">
        <f t="shared" si="58"/>
        <v>1283.33</v>
      </c>
      <c r="I33" s="118">
        <v>14</v>
      </c>
      <c r="J33" s="88">
        <v>14</v>
      </c>
      <c r="L33" s="119">
        <v>46023</v>
      </c>
      <c r="M33" s="120"/>
      <c r="N33" s="121" t="str">
        <f t="shared" ca="1" si="23"/>
        <v>O.K.</v>
      </c>
      <c r="W33" s="1" t="s">
        <v>349</v>
      </c>
      <c r="X33" s="50">
        <v>0</v>
      </c>
      <c r="Y33" s="48">
        <v>0</v>
      </c>
      <c r="Z33" s="49">
        <v>0</v>
      </c>
      <c r="AA33" s="49">
        <v>0</v>
      </c>
      <c r="AB33" s="49">
        <v>0</v>
      </c>
      <c r="AC33" s="31">
        <v>0</v>
      </c>
      <c r="AD33" s="28">
        <f t="shared" si="38"/>
        <v>0</v>
      </c>
      <c r="AE33" s="52">
        <v>0</v>
      </c>
      <c r="AF33" s="52">
        <v>0</v>
      </c>
      <c r="AG33" s="49">
        <v>0</v>
      </c>
      <c r="AH33" s="22">
        <f t="shared" si="39"/>
        <v>0</v>
      </c>
      <c r="AI33" s="52">
        <f t="shared" si="47"/>
        <v>0</v>
      </c>
      <c r="AJ33" s="52">
        <f t="shared" si="47"/>
        <v>0</v>
      </c>
      <c r="AK33" s="49">
        <v>0</v>
      </c>
      <c r="AL33" s="31">
        <f t="shared" si="40"/>
        <v>0</v>
      </c>
      <c r="AM33" s="52">
        <f>+(0)+(108)+(0)+(0)+(0)+(0)</f>
        <v>108</v>
      </c>
      <c r="AN33" s="52">
        <f>+(0)+(0)+(0)+(0)+(336.6)+(192)</f>
        <v>528.6</v>
      </c>
      <c r="AO33" s="72">
        <v>150</v>
      </c>
      <c r="AP33" s="74">
        <f t="shared" si="41"/>
        <v>486.6</v>
      </c>
      <c r="AQ33" s="76">
        <f>+(0)+(0)+(0)+(0)+(54)+(0)</f>
        <v>54</v>
      </c>
      <c r="AR33" s="76">
        <f t="shared" si="49"/>
        <v>0</v>
      </c>
      <c r="AS33" s="74">
        <v>150</v>
      </c>
      <c r="AT33" s="74">
        <f t="shared" si="42"/>
        <v>390.6</v>
      </c>
      <c r="AU33" s="73">
        <f>+(0)+(0)+(0)+(174)</f>
        <v>174</v>
      </c>
      <c r="AV33" s="73">
        <f t="shared" si="30"/>
        <v>0</v>
      </c>
      <c r="AW33" s="73">
        <v>150</v>
      </c>
      <c r="AX33" s="73">
        <f t="shared" ref="AX33:AX37" si="62">+AT33+AU33+AV33-AW33</f>
        <v>414.6</v>
      </c>
      <c r="AY33" s="109">
        <f>+(0)+(0)+(0)+(0)</f>
        <v>0</v>
      </c>
      <c r="AZ33" s="109">
        <f>+(0)+(0)+(78)+(0)+(0)+(0)+(0)+(0)</f>
        <v>78</v>
      </c>
      <c r="BA33" s="61">
        <v>150</v>
      </c>
      <c r="BB33" s="61">
        <f t="shared" si="43"/>
        <v>342.6</v>
      </c>
      <c r="BD33" s="88">
        <v>0</v>
      </c>
      <c r="BE33" s="153">
        <v>198</v>
      </c>
      <c r="BF33" s="88">
        <v>0</v>
      </c>
      <c r="BG33" s="88">
        <v>0</v>
      </c>
      <c r="BH33" s="88">
        <v>0</v>
      </c>
      <c r="BI33" s="88">
        <v>0</v>
      </c>
      <c r="BJ33" s="88">
        <v>0</v>
      </c>
      <c r="BK33" s="88">
        <v>0</v>
      </c>
      <c r="BL33" s="88">
        <v>0</v>
      </c>
      <c r="BM33" s="88">
        <v>0</v>
      </c>
      <c r="BN33" s="88">
        <v>0</v>
      </c>
      <c r="BO33" s="88">
        <v>0</v>
      </c>
      <c r="BP33" s="210">
        <v>150</v>
      </c>
      <c r="BQ33" s="208">
        <f t="shared" si="6"/>
        <v>390.6</v>
      </c>
      <c r="BR33" s="175">
        <f t="shared" si="7"/>
        <v>750</v>
      </c>
    </row>
    <row r="34" spans="1:70" ht="25.8" thickBot="1" x14ac:dyDescent="0.65">
      <c r="A34" s="64">
        <v>26</v>
      </c>
      <c r="B34" s="112" t="s">
        <v>37</v>
      </c>
      <c r="C34" s="113" t="s">
        <v>23</v>
      </c>
      <c r="D34" s="124" t="s">
        <v>121</v>
      </c>
      <c r="E34" s="115">
        <v>5</v>
      </c>
      <c r="F34" s="116">
        <f t="shared" si="56"/>
        <v>2666.65</v>
      </c>
      <c r="G34" s="116">
        <f t="shared" si="57"/>
        <v>1338.6</v>
      </c>
      <c r="H34" s="117">
        <f t="shared" si="58"/>
        <v>4005.25</v>
      </c>
      <c r="I34" s="118">
        <v>10</v>
      </c>
      <c r="J34" s="88">
        <v>10</v>
      </c>
      <c r="L34" s="119">
        <v>46350</v>
      </c>
      <c r="M34" s="120"/>
      <c r="N34" s="121" t="str">
        <f t="shared" ca="1" si="23"/>
        <v>O.K.</v>
      </c>
      <c r="W34" s="1" t="s">
        <v>37</v>
      </c>
      <c r="X34" s="50">
        <v>120</v>
      </c>
      <c r="Y34" s="48">
        <v>120</v>
      </c>
      <c r="Z34" s="49">
        <v>108</v>
      </c>
      <c r="AA34" s="49">
        <v>96</v>
      </c>
      <c r="AB34" s="49">
        <v>54.6</v>
      </c>
      <c r="AC34" s="31">
        <v>54.6</v>
      </c>
      <c r="AD34" s="28">
        <f t="shared" si="38"/>
        <v>0</v>
      </c>
      <c r="AE34" s="52">
        <f>108+54</f>
        <v>162</v>
      </c>
      <c r="AF34" s="52">
        <f>+(0)+(156)+(0)+(0)+(54)+(54)</f>
        <v>264</v>
      </c>
      <c r="AG34" s="49">
        <v>120</v>
      </c>
      <c r="AH34" s="22">
        <f t="shared" si="39"/>
        <v>306</v>
      </c>
      <c r="AI34" s="52">
        <f t="shared" si="47"/>
        <v>0</v>
      </c>
      <c r="AJ34" s="52">
        <f>+(0)+(156)+(0)+(0)+(0)+(0)</f>
        <v>156</v>
      </c>
      <c r="AK34" s="49">
        <v>120</v>
      </c>
      <c r="AL34" s="31">
        <f t="shared" si="40"/>
        <v>342</v>
      </c>
      <c r="AM34" s="52">
        <f>+(0)+(0)+(0)+(0)+(0)+(30)</f>
        <v>30</v>
      </c>
      <c r="AN34" s="52">
        <f t="shared" si="48"/>
        <v>0</v>
      </c>
      <c r="AO34" s="72">
        <v>120</v>
      </c>
      <c r="AP34" s="74">
        <f t="shared" si="41"/>
        <v>252</v>
      </c>
      <c r="AQ34" s="76">
        <f t="shared" si="49"/>
        <v>0</v>
      </c>
      <c r="AR34" s="76">
        <f t="shared" si="49"/>
        <v>0</v>
      </c>
      <c r="AS34" s="74">
        <v>120</v>
      </c>
      <c r="AT34" s="74">
        <f t="shared" si="42"/>
        <v>132</v>
      </c>
      <c r="AU34" s="73">
        <f>+(0)+(0)+(163.2)+(0)</f>
        <v>163.19999999999999</v>
      </c>
      <c r="AV34" s="73">
        <f t="shared" si="30"/>
        <v>0</v>
      </c>
      <c r="AW34" s="73">
        <v>120</v>
      </c>
      <c r="AX34" s="73">
        <f t="shared" si="62"/>
        <v>175.2</v>
      </c>
      <c r="AY34" s="109">
        <f>+(0)+(54)+(0)+(54)</f>
        <v>108</v>
      </c>
      <c r="AZ34" s="109">
        <f>+(0)+(0)+(0)+(0)+(0)+(0)+(0)+(0)</f>
        <v>0</v>
      </c>
      <c r="BA34" s="61">
        <v>120</v>
      </c>
      <c r="BB34" s="61">
        <f t="shared" si="43"/>
        <v>163.19999999999999</v>
      </c>
      <c r="BD34" s="88">
        <v>0</v>
      </c>
      <c r="BE34" s="88">
        <v>0</v>
      </c>
      <c r="BF34" s="88">
        <v>0</v>
      </c>
      <c r="BG34" s="88">
        <v>0</v>
      </c>
      <c r="BH34" s="88">
        <v>0</v>
      </c>
      <c r="BI34" s="88">
        <v>0</v>
      </c>
      <c r="BJ34" s="88">
        <v>0</v>
      </c>
      <c r="BK34" s="88">
        <v>0</v>
      </c>
      <c r="BL34" s="88">
        <v>0</v>
      </c>
      <c r="BM34" s="88">
        <v>0</v>
      </c>
      <c r="BN34" s="88">
        <v>0</v>
      </c>
      <c r="BO34" s="88">
        <v>0</v>
      </c>
      <c r="BP34" s="210">
        <v>120</v>
      </c>
      <c r="BQ34" s="208">
        <f t="shared" si="6"/>
        <v>43.199999999999989</v>
      </c>
      <c r="BR34" s="175">
        <f t="shared" si="7"/>
        <v>1338.6</v>
      </c>
    </row>
    <row r="35" spans="1:70" ht="25.8" thickBot="1" x14ac:dyDescent="0.65">
      <c r="A35" s="64">
        <v>27</v>
      </c>
      <c r="B35" s="112" t="s">
        <v>239</v>
      </c>
      <c r="C35" s="113" t="s">
        <v>20</v>
      </c>
      <c r="D35" s="123">
        <v>43191</v>
      </c>
      <c r="E35" s="115">
        <v>3</v>
      </c>
      <c r="F35" s="116">
        <f t="shared" si="56"/>
        <v>1599.9900000000002</v>
      </c>
      <c r="G35" s="116">
        <f t="shared" si="57"/>
        <v>1332.6</v>
      </c>
      <c r="H35" s="117">
        <f t="shared" si="58"/>
        <v>2932.59</v>
      </c>
      <c r="I35" s="118">
        <v>12</v>
      </c>
      <c r="J35" s="88">
        <v>12</v>
      </c>
      <c r="L35" s="119">
        <v>46113</v>
      </c>
      <c r="M35" s="120"/>
      <c r="N35" s="121" t="str">
        <f t="shared" ca="1" si="23"/>
        <v>O.K.</v>
      </c>
      <c r="W35" s="1" t="s">
        <v>239</v>
      </c>
      <c r="X35" s="50">
        <v>0</v>
      </c>
      <c r="Y35" s="48">
        <v>0</v>
      </c>
      <c r="Z35" s="49">
        <v>0</v>
      </c>
      <c r="AA35" s="49">
        <v>132.6</v>
      </c>
      <c r="AB35" s="49">
        <v>150</v>
      </c>
      <c r="AC35" s="31">
        <v>162</v>
      </c>
      <c r="AD35" s="28">
        <f t="shared" si="38"/>
        <v>12</v>
      </c>
      <c r="AE35" s="52">
        <v>186</v>
      </c>
      <c r="AF35" s="52">
        <f>+(54)+(0)+(0)+(0)+(132)+(162)</f>
        <v>348</v>
      </c>
      <c r="AG35" s="49">
        <v>150</v>
      </c>
      <c r="AH35" s="22">
        <f t="shared" si="39"/>
        <v>396</v>
      </c>
      <c r="AI35" s="52">
        <f>+(0)+(0)+(0)+(0)+(78)+(0)</f>
        <v>78</v>
      </c>
      <c r="AJ35" s="52">
        <f>+(78)+(0)+(0)+(0)+(78)+(0)</f>
        <v>156</v>
      </c>
      <c r="AK35" s="49">
        <v>150</v>
      </c>
      <c r="AL35" s="31">
        <f t="shared" si="40"/>
        <v>480</v>
      </c>
      <c r="AM35" s="52">
        <f>+(0)+(0)+(0)+(0)+(0)+(171.6)</f>
        <v>171.6</v>
      </c>
      <c r="AN35" s="52">
        <f>+(0)+(96)+(0)+(0)+(31.2)+(96)</f>
        <v>223.2</v>
      </c>
      <c r="AO35" s="72">
        <v>150</v>
      </c>
      <c r="AP35" s="74">
        <f t="shared" si="41"/>
        <v>724.8</v>
      </c>
      <c r="AQ35" s="76">
        <f>+(67.2)+(0)+(0)+(0)+(54)+(0)</f>
        <v>121.2</v>
      </c>
      <c r="AR35" s="76">
        <f t="shared" si="49"/>
        <v>0</v>
      </c>
      <c r="AS35" s="74">
        <v>150</v>
      </c>
      <c r="AT35" s="74">
        <f t="shared" si="42"/>
        <v>696</v>
      </c>
      <c r="AU35" s="73">
        <f>+(0)+(0)+(0)+(294)</f>
        <v>294</v>
      </c>
      <c r="AV35" s="73">
        <f>+(0)+(0)+(0)+(0)+(0)+(54.6)+(0)+(0)</f>
        <v>54.6</v>
      </c>
      <c r="AW35" s="73">
        <v>150</v>
      </c>
      <c r="AX35" s="73">
        <f t="shared" si="62"/>
        <v>894.59999999999991</v>
      </c>
      <c r="AY35" s="109">
        <f>+(0)+(0)+(0)+(54)</f>
        <v>54</v>
      </c>
      <c r="AZ35" s="109">
        <f>+(0)+(0)+(78)+(0)+(0)+(0)+(0)+(0)</f>
        <v>78</v>
      </c>
      <c r="BA35" s="61">
        <v>150</v>
      </c>
      <c r="BB35" s="61">
        <f t="shared" si="43"/>
        <v>876.59999999999991</v>
      </c>
      <c r="BD35" s="88">
        <v>0</v>
      </c>
      <c r="BE35" s="153">
        <v>78</v>
      </c>
      <c r="BF35" s="88">
        <v>0</v>
      </c>
      <c r="BG35" s="88">
        <v>0</v>
      </c>
      <c r="BH35" s="88">
        <v>0</v>
      </c>
      <c r="BI35" s="88">
        <v>0</v>
      </c>
      <c r="BJ35" s="88">
        <v>0</v>
      </c>
      <c r="BK35" s="88">
        <v>0</v>
      </c>
      <c r="BL35" s="88">
        <v>0</v>
      </c>
      <c r="BM35" s="88">
        <v>0</v>
      </c>
      <c r="BN35" s="88">
        <v>0</v>
      </c>
      <c r="BO35" s="88">
        <v>0</v>
      </c>
      <c r="BP35" s="210">
        <v>150</v>
      </c>
      <c r="BQ35" s="208">
        <f t="shared" si="6"/>
        <v>804.59999999999991</v>
      </c>
      <c r="BR35" s="175">
        <f t="shared" si="7"/>
        <v>1332.6</v>
      </c>
    </row>
    <row r="36" spans="1:70" ht="25.8" thickBot="1" x14ac:dyDescent="0.65">
      <c r="A36" s="64">
        <v>28</v>
      </c>
      <c r="B36" s="112" t="s">
        <v>427</v>
      </c>
      <c r="C36" s="113" t="s">
        <v>19</v>
      </c>
      <c r="D36" s="123">
        <v>45315</v>
      </c>
      <c r="E36" s="115">
        <v>0</v>
      </c>
      <c r="F36" s="116">
        <f t="shared" ref="F36" si="63">+E36*$C$1</f>
        <v>0</v>
      </c>
      <c r="G36" s="116">
        <f t="shared" ref="G36" si="64">+BR36</f>
        <v>135</v>
      </c>
      <c r="H36" s="117">
        <f t="shared" ref="H36" si="65">+F36+G36</f>
        <v>135</v>
      </c>
      <c r="I36" s="118">
        <v>15</v>
      </c>
      <c r="J36" s="88">
        <v>15</v>
      </c>
      <c r="L36" s="119">
        <v>46046</v>
      </c>
      <c r="M36" s="120"/>
      <c r="N36" s="121" t="str">
        <f t="shared" ca="1" si="23"/>
        <v>O.K.</v>
      </c>
      <c r="W36" s="1" t="s">
        <v>427</v>
      </c>
      <c r="X36" s="50">
        <v>0</v>
      </c>
      <c r="Y36" s="48">
        <v>0</v>
      </c>
      <c r="Z36" s="49">
        <v>0</v>
      </c>
      <c r="AA36" s="49">
        <v>0</v>
      </c>
      <c r="AB36" s="49">
        <v>0</v>
      </c>
      <c r="AC36" s="31">
        <v>0</v>
      </c>
      <c r="AD36" s="28">
        <f t="shared" si="38"/>
        <v>0</v>
      </c>
      <c r="AE36" s="52">
        <v>0</v>
      </c>
      <c r="AF36" s="52">
        <v>0</v>
      </c>
      <c r="AG36" s="49">
        <v>0</v>
      </c>
      <c r="AH36" s="22">
        <f t="shared" si="39"/>
        <v>0</v>
      </c>
      <c r="AI36" s="52">
        <v>0</v>
      </c>
      <c r="AJ36" s="52">
        <v>0</v>
      </c>
      <c r="AK36" s="49">
        <v>0</v>
      </c>
      <c r="AL36" s="31">
        <f t="shared" si="40"/>
        <v>0</v>
      </c>
      <c r="AM36" s="52">
        <v>0</v>
      </c>
      <c r="AN36" s="52">
        <v>0</v>
      </c>
      <c r="AO36" s="72">
        <v>0</v>
      </c>
      <c r="AP36" s="74">
        <f t="shared" si="41"/>
        <v>0</v>
      </c>
      <c r="AQ36" s="76">
        <v>0</v>
      </c>
      <c r="AR36" s="76">
        <v>0</v>
      </c>
      <c r="AS36" s="74">
        <v>0</v>
      </c>
      <c r="AT36" s="74">
        <f t="shared" si="42"/>
        <v>0</v>
      </c>
      <c r="AU36" s="73">
        <f t="shared" si="44"/>
        <v>0</v>
      </c>
      <c r="AV36" s="73">
        <f t="shared" si="30"/>
        <v>0</v>
      </c>
      <c r="AW36" s="73">
        <v>0</v>
      </c>
      <c r="AX36" s="73">
        <f t="shared" ref="AX36:AX50" si="66">+AT36+AU36+AV36-AW36</f>
        <v>0</v>
      </c>
      <c r="AY36" s="109">
        <f>+(0)+(0)+(0)+(54)</f>
        <v>54</v>
      </c>
      <c r="AZ36" s="109">
        <f>+(0)+(0)+(0)+(0)+(0)+(0)+(30)+(51)</f>
        <v>81</v>
      </c>
      <c r="BA36" s="61">
        <v>120</v>
      </c>
      <c r="BB36" s="61">
        <f t="shared" si="43"/>
        <v>15</v>
      </c>
      <c r="BD36" s="88">
        <v>0</v>
      </c>
      <c r="BE36" s="88">
        <v>0</v>
      </c>
      <c r="BF36" s="88">
        <v>0</v>
      </c>
      <c r="BG36" s="88">
        <v>0</v>
      </c>
      <c r="BH36" s="88">
        <v>0</v>
      </c>
      <c r="BI36" s="88">
        <v>0</v>
      </c>
      <c r="BJ36" s="88">
        <v>0</v>
      </c>
      <c r="BK36" s="88">
        <v>0</v>
      </c>
      <c r="BL36" s="88">
        <v>0</v>
      </c>
      <c r="BM36" s="88">
        <v>0</v>
      </c>
      <c r="BN36" s="88">
        <v>0</v>
      </c>
      <c r="BO36" s="88">
        <v>0</v>
      </c>
      <c r="BP36" s="210">
        <v>15</v>
      </c>
      <c r="BQ36" s="208">
        <f t="shared" si="6"/>
        <v>0</v>
      </c>
      <c r="BR36" s="175">
        <f t="shared" si="7"/>
        <v>135</v>
      </c>
    </row>
    <row r="37" spans="1:70" ht="25.8" thickBot="1" x14ac:dyDescent="0.65">
      <c r="A37" s="64">
        <v>29</v>
      </c>
      <c r="B37" s="166" t="s">
        <v>261</v>
      </c>
      <c r="C37" s="156" t="s">
        <v>171</v>
      </c>
      <c r="D37" s="170">
        <v>43569</v>
      </c>
      <c r="E37" s="168">
        <v>3</v>
      </c>
      <c r="F37" s="160">
        <f>+E37*$C$1</f>
        <v>1599.9900000000002</v>
      </c>
      <c r="G37" s="160">
        <f t="shared" ref="G37:G41" si="67">+BR37</f>
        <v>918</v>
      </c>
      <c r="H37" s="161">
        <f t="shared" ref="H37:H41" si="68">+F37+G37</f>
        <v>2517.9900000000002</v>
      </c>
      <c r="I37" s="162">
        <v>12</v>
      </c>
      <c r="J37" s="88">
        <v>12</v>
      </c>
      <c r="L37" s="173">
        <v>46478</v>
      </c>
      <c r="M37" s="164"/>
      <c r="N37" s="165" t="str">
        <f t="shared" ca="1" si="23"/>
        <v>O.K.</v>
      </c>
      <c r="W37" s="1" t="s">
        <v>261</v>
      </c>
      <c r="X37" s="50">
        <v>0</v>
      </c>
      <c r="Y37" s="48">
        <v>0</v>
      </c>
      <c r="Z37" s="49">
        <v>0</v>
      </c>
      <c r="AA37" s="49">
        <v>0</v>
      </c>
      <c r="AB37" s="49">
        <v>78</v>
      </c>
      <c r="AC37" s="31">
        <v>78</v>
      </c>
      <c r="AD37" s="28">
        <f t="shared" si="38"/>
        <v>0</v>
      </c>
      <c r="AE37" s="52">
        <v>234</v>
      </c>
      <c r="AF37" s="52">
        <f>+(0)+(0)+(0)+(0)+(54)+(162)</f>
        <v>216</v>
      </c>
      <c r="AG37" s="49">
        <v>120</v>
      </c>
      <c r="AH37" s="22">
        <f t="shared" si="39"/>
        <v>330</v>
      </c>
      <c r="AI37" s="52">
        <f>+(0)+(0)+(0)+(0)+(78)+(0)</f>
        <v>78</v>
      </c>
      <c r="AJ37" s="52">
        <f>+(108)+(0)+(0)+(0)+(0)+(0)</f>
        <v>108</v>
      </c>
      <c r="AK37" s="49">
        <v>120</v>
      </c>
      <c r="AL37" s="31">
        <f t="shared" si="40"/>
        <v>396</v>
      </c>
      <c r="AM37" s="52">
        <f t="shared" si="48"/>
        <v>0</v>
      </c>
      <c r="AN37" s="52">
        <f t="shared" si="48"/>
        <v>0</v>
      </c>
      <c r="AO37" s="72">
        <v>120</v>
      </c>
      <c r="AP37" s="74">
        <f t="shared" si="41"/>
        <v>276</v>
      </c>
      <c r="AQ37" s="76">
        <f t="shared" si="49"/>
        <v>0</v>
      </c>
      <c r="AR37" s="76">
        <f t="shared" si="49"/>
        <v>0</v>
      </c>
      <c r="AS37" s="74">
        <v>120</v>
      </c>
      <c r="AT37" s="74">
        <f t="shared" si="42"/>
        <v>156</v>
      </c>
      <c r="AU37" s="73">
        <f>+(0)+(0)+(0)+(78)</f>
        <v>78</v>
      </c>
      <c r="AV37" s="73">
        <f>+(0)+(0)+(96)+(0)+(0)+(0)+(0)+(0)</f>
        <v>96</v>
      </c>
      <c r="AW37" s="73">
        <v>120</v>
      </c>
      <c r="AX37" s="73">
        <f t="shared" si="62"/>
        <v>210</v>
      </c>
      <c r="AY37" s="109">
        <f>+(0)+(0)+(0)+(0)</f>
        <v>0</v>
      </c>
      <c r="AZ37" s="109">
        <f>+(0)+(0)+(0)+(0)+(0)+(0)+(78)+(78)</f>
        <v>156</v>
      </c>
      <c r="BA37" s="61">
        <v>120</v>
      </c>
      <c r="BB37" s="61">
        <f t="shared" si="43"/>
        <v>246</v>
      </c>
      <c r="BD37" s="153">
        <v>78</v>
      </c>
      <c r="BE37" s="88">
        <v>0</v>
      </c>
      <c r="BF37" s="88">
        <v>0</v>
      </c>
      <c r="BG37" s="88">
        <v>0</v>
      </c>
      <c r="BH37" s="88">
        <v>0</v>
      </c>
      <c r="BI37" s="88">
        <v>0</v>
      </c>
      <c r="BJ37" s="88">
        <v>0</v>
      </c>
      <c r="BK37" s="88">
        <v>0</v>
      </c>
      <c r="BL37" s="88">
        <v>0</v>
      </c>
      <c r="BM37" s="88">
        <v>0</v>
      </c>
      <c r="BN37" s="88">
        <v>0</v>
      </c>
      <c r="BO37" s="88">
        <v>0</v>
      </c>
      <c r="BP37" s="210">
        <v>120</v>
      </c>
      <c r="BQ37" s="208">
        <f t="shared" si="6"/>
        <v>204</v>
      </c>
      <c r="BR37" s="175">
        <f t="shared" si="7"/>
        <v>918</v>
      </c>
    </row>
    <row r="38" spans="1:70" ht="25.8" thickBot="1" x14ac:dyDescent="0.65">
      <c r="A38" s="64">
        <v>30</v>
      </c>
      <c r="B38" s="90" t="s">
        <v>39</v>
      </c>
      <c r="C38" s="91" t="s">
        <v>19</v>
      </c>
      <c r="D38" s="90" t="s">
        <v>123</v>
      </c>
      <c r="E38" s="92">
        <v>15</v>
      </c>
      <c r="F38" s="93">
        <f t="shared" ref="F38:F86" si="69">+E38*$C$1</f>
        <v>7999.9500000000007</v>
      </c>
      <c r="G38" s="93">
        <f t="shared" si="67"/>
        <v>2394.3000000000002</v>
      </c>
      <c r="H38" s="94">
        <f t="shared" si="68"/>
        <v>10394.25</v>
      </c>
      <c r="I38" s="95">
        <v>2</v>
      </c>
      <c r="J38" s="88">
        <v>2</v>
      </c>
      <c r="L38" s="138"/>
      <c r="M38" s="96"/>
      <c r="N38" s="97" t="s">
        <v>25</v>
      </c>
      <c r="W38" s="1" t="s">
        <v>39</v>
      </c>
      <c r="X38" s="50">
        <v>1792.5</v>
      </c>
      <c r="Y38" s="48">
        <v>96</v>
      </c>
      <c r="Z38" s="49">
        <v>96</v>
      </c>
      <c r="AA38" s="49">
        <v>115.8</v>
      </c>
      <c r="AB38" s="49">
        <v>0</v>
      </c>
      <c r="AC38" s="31">
        <v>0</v>
      </c>
      <c r="AD38" s="28">
        <f t="shared" si="38"/>
        <v>0</v>
      </c>
      <c r="AE38" s="52">
        <v>78</v>
      </c>
      <c r="AF38" s="52">
        <f>+(0)+(30)+(78)+(0)+(54)+(54)</f>
        <v>216</v>
      </c>
      <c r="AG38" s="49">
        <v>120</v>
      </c>
      <c r="AH38" s="22">
        <f t="shared" si="39"/>
        <v>174</v>
      </c>
      <c r="AI38" s="52">
        <f t="shared" si="47"/>
        <v>0</v>
      </c>
      <c r="AJ38" s="52">
        <f t="shared" si="47"/>
        <v>0</v>
      </c>
      <c r="AK38" s="49">
        <v>120</v>
      </c>
      <c r="AL38" s="31">
        <f t="shared" si="40"/>
        <v>54</v>
      </c>
      <c r="AM38" s="52">
        <f t="shared" si="48"/>
        <v>0</v>
      </c>
      <c r="AN38" s="52">
        <f t="shared" si="48"/>
        <v>0</v>
      </c>
      <c r="AO38" s="72">
        <v>54</v>
      </c>
      <c r="AP38" s="74">
        <f t="shared" si="41"/>
        <v>0</v>
      </c>
      <c r="AQ38" s="76">
        <f t="shared" si="49"/>
        <v>0</v>
      </c>
      <c r="AR38" s="76">
        <f t="shared" si="49"/>
        <v>0</v>
      </c>
      <c r="AS38" s="74">
        <v>0</v>
      </c>
      <c r="AT38" s="74">
        <f t="shared" si="42"/>
        <v>0</v>
      </c>
      <c r="AU38" s="73">
        <f t="shared" si="44"/>
        <v>0</v>
      </c>
      <c r="AV38" s="73">
        <f t="shared" si="30"/>
        <v>0</v>
      </c>
      <c r="AW38" s="73">
        <v>0</v>
      </c>
      <c r="AX38" s="73">
        <f t="shared" si="66"/>
        <v>0</v>
      </c>
      <c r="AY38" s="109">
        <f>+(0)+(0)+(0)+(0)</f>
        <v>0</v>
      </c>
      <c r="AZ38" s="109">
        <f>+(0)+(0)+(0)+(0)+(0)+(0)+(0)+(0)</f>
        <v>0</v>
      </c>
      <c r="BA38" s="61">
        <v>0</v>
      </c>
      <c r="BB38" s="61">
        <f t="shared" si="43"/>
        <v>0</v>
      </c>
      <c r="BD38" s="88">
        <v>0</v>
      </c>
      <c r="BE38" s="88">
        <v>0</v>
      </c>
      <c r="BF38" s="88">
        <v>0</v>
      </c>
      <c r="BG38" s="88">
        <v>0</v>
      </c>
      <c r="BH38" s="88">
        <v>0</v>
      </c>
      <c r="BI38" s="88">
        <v>0</v>
      </c>
      <c r="BJ38" s="88">
        <v>0</v>
      </c>
      <c r="BK38" s="88">
        <v>0</v>
      </c>
      <c r="BL38" s="88">
        <v>0</v>
      </c>
      <c r="BM38" s="88">
        <v>0</v>
      </c>
      <c r="BN38" s="88">
        <v>0</v>
      </c>
      <c r="BO38" s="88">
        <v>0</v>
      </c>
      <c r="BP38" s="210">
        <v>0</v>
      </c>
      <c r="BQ38" s="208">
        <f t="shared" si="6"/>
        <v>0</v>
      </c>
      <c r="BR38" s="175">
        <f t="shared" si="7"/>
        <v>2394.3000000000002</v>
      </c>
    </row>
    <row r="39" spans="1:70" ht="25.8" thickBot="1" x14ac:dyDescent="0.65">
      <c r="A39" s="64">
        <v>31</v>
      </c>
      <c r="B39" s="166" t="s">
        <v>263</v>
      </c>
      <c r="C39" s="156" t="s">
        <v>20</v>
      </c>
      <c r="D39" s="167">
        <v>43570</v>
      </c>
      <c r="E39" s="168">
        <v>3</v>
      </c>
      <c r="F39" s="160">
        <f t="shared" si="69"/>
        <v>1599.9900000000002</v>
      </c>
      <c r="G39" s="160">
        <f t="shared" si="67"/>
        <v>1200</v>
      </c>
      <c r="H39" s="161">
        <f t="shared" si="68"/>
        <v>2799.9900000000002</v>
      </c>
      <c r="I39" s="162">
        <v>12</v>
      </c>
      <c r="J39" s="88">
        <v>12</v>
      </c>
      <c r="L39" s="163">
        <v>46492</v>
      </c>
      <c r="M39" s="164"/>
      <c r="N39" s="165" t="str">
        <f t="shared" ref="N39:N49" ca="1" si="70">IF($B$2&lt;L39,"O.K.","A L E R T A ")</f>
        <v>O.K.</v>
      </c>
      <c r="W39" s="1" t="s">
        <v>263</v>
      </c>
      <c r="X39" s="50">
        <v>0</v>
      </c>
      <c r="Y39" s="48">
        <v>0</v>
      </c>
      <c r="Z39" s="49">
        <v>0</v>
      </c>
      <c r="AA39" s="49">
        <v>0</v>
      </c>
      <c r="AB39" s="49">
        <v>150</v>
      </c>
      <c r="AC39" s="31">
        <v>330.6</v>
      </c>
      <c r="AD39" s="28">
        <f t="shared" si="38"/>
        <v>180.60000000000002</v>
      </c>
      <c r="AE39" s="52">
        <f>54+54</f>
        <v>108</v>
      </c>
      <c r="AF39" s="52">
        <f>+(0)+(0)+(210)+(0)+(54)+(270)</f>
        <v>534</v>
      </c>
      <c r="AG39" s="49">
        <v>150</v>
      </c>
      <c r="AH39" s="22">
        <f t="shared" si="39"/>
        <v>672.6</v>
      </c>
      <c r="AI39" s="52">
        <f>+(0)+(0)+(0)+(0)+(186)+(0)</f>
        <v>186</v>
      </c>
      <c r="AJ39" s="52">
        <f>+(78)+(0)+(0)+(0)+(0)+(0)</f>
        <v>78</v>
      </c>
      <c r="AK39" s="49">
        <v>150</v>
      </c>
      <c r="AL39" s="31">
        <f t="shared" si="40"/>
        <v>786.6</v>
      </c>
      <c r="AM39" s="52">
        <f t="shared" si="48"/>
        <v>0</v>
      </c>
      <c r="AN39" s="52">
        <f>+(0)+(78)+(0)+(0)+(12)+(192)</f>
        <v>282</v>
      </c>
      <c r="AO39" s="72">
        <v>150</v>
      </c>
      <c r="AP39" s="74">
        <f t="shared" si="41"/>
        <v>918.59999999999991</v>
      </c>
      <c r="AQ39" s="76">
        <f t="shared" si="49"/>
        <v>0</v>
      </c>
      <c r="AR39" s="76">
        <f t="shared" si="49"/>
        <v>0</v>
      </c>
      <c r="AS39" s="74">
        <v>150</v>
      </c>
      <c r="AT39" s="74">
        <f t="shared" si="42"/>
        <v>768.59999999999991</v>
      </c>
      <c r="AU39" s="73">
        <f t="shared" si="44"/>
        <v>0</v>
      </c>
      <c r="AV39" s="73">
        <f t="shared" si="30"/>
        <v>0</v>
      </c>
      <c r="AW39" s="73">
        <v>150</v>
      </c>
      <c r="AX39" s="73">
        <f t="shared" si="66"/>
        <v>618.59999999999991</v>
      </c>
      <c r="AY39" s="109">
        <f>+(0)+(0)+(0)+(0)</f>
        <v>0</v>
      </c>
      <c r="AZ39" s="109">
        <f>+(0)+(54)+(0)+(0)+(0)+(0)+(78)+(0)</f>
        <v>132</v>
      </c>
      <c r="BA39" s="61">
        <v>150</v>
      </c>
      <c r="BB39" s="61">
        <f t="shared" si="43"/>
        <v>600.59999999999991</v>
      </c>
      <c r="BD39" s="153">
        <v>78</v>
      </c>
      <c r="BE39" s="88">
        <v>0</v>
      </c>
      <c r="BF39" s="88">
        <v>0</v>
      </c>
      <c r="BG39" s="88">
        <v>0</v>
      </c>
      <c r="BH39" s="88">
        <v>0</v>
      </c>
      <c r="BI39" s="88">
        <v>0</v>
      </c>
      <c r="BJ39" s="88">
        <v>0</v>
      </c>
      <c r="BK39" s="88">
        <v>0</v>
      </c>
      <c r="BL39" s="88">
        <v>0</v>
      </c>
      <c r="BM39" s="88">
        <v>0</v>
      </c>
      <c r="BN39" s="88">
        <v>0</v>
      </c>
      <c r="BO39" s="88">
        <v>0</v>
      </c>
      <c r="BP39" s="210">
        <v>150</v>
      </c>
      <c r="BQ39" s="208">
        <f t="shared" si="6"/>
        <v>528.59999999999991</v>
      </c>
      <c r="BR39" s="175">
        <f t="shared" si="7"/>
        <v>1200</v>
      </c>
    </row>
    <row r="40" spans="1:70" ht="25.8" thickBot="1" x14ac:dyDescent="0.65">
      <c r="A40" s="64">
        <v>32</v>
      </c>
      <c r="B40" s="166" t="s">
        <v>282</v>
      </c>
      <c r="C40" s="156" t="s">
        <v>23</v>
      </c>
      <c r="D40" s="167">
        <v>43514</v>
      </c>
      <c r="E40" s="168">
        <v>3</v>
      </c>
      <c r="F40" s="160">
        <f t="shared" si="69"/>
        <v>1599.9900000000002</v>
      </c>
      <c r="G40" s="160">
        <f t="shared" si="67"/>
        <v>894.6</v>
      </c>
      <c r="H40" s="161">
        <f t="shared" si="68"/>
        <v>2494.59</v>
      </c>
      <c r="I40" s="162">
        <v>12</v>
      </c>
      <c r="J40" s="88">
        <v>12</v>
      </c>
      <c r="L40" s="163">
        <v>46436</v>
      </c>
      <c r="M40" s="164"/>
      <c r="N40" s="165" t="str">
        <f t="shared" ca="1" si="70"/>
        <v>O.K.</v>
      </c>
      <c r="W40" s="1" t="s">
        <v>282</v>
      </c>
      <c r="X40" s="50">
        <v>0</v>
      </c>
      <c r="Y40" s="48">
        <v>0</v>
      </c>
      <c r="Z40" s="49">
        <v>0</v>
      </c>
      <c r="AA40" s="49">
        <v>0</v>
      </c>
      <c r="AB40" s="49">
        <v>54.6</v>
      </c>
      <c r="AC40" s="31">
        <v>54.6</v>
      </c>
      <c r="AD40" s="28">
        <f t="shared" si="38"/>
        <v>0</v>
      </c>
      <c r="AE40" s="52">
        <v>78</v>
      </c>
      <c r="AF40" s="52">
        <f>+(0)+(78)+(109.2)+(0)+(54)+(162)</f>
        <v>403.2</v>
      </c>
      <c r="AG40" s="49">
        <v>120</v>
      </c>
      <c r="AH40" s="22">
        <f t="shared" si="39"/>
        <v>361.2</v>
      </c>
      <c r="AI40" s="52">
        <f>+(0)+(0)+(0)+(0)+(54.6)+(0)</f>
        <v>54.6</v>
      </c>
      <c r="AJ40" s="52">
        <f>+(78)+(132.6)+(0)+(0)+(0)+(0)</f>
        <v>210.6</v>
      </c>
      <c r="AK40" s="49">
        <v>120</v>
      </c>
      <c r="AL40" s="31">
        <f t="shared" si="40"/>
        <v>506.4</v>
      </c>
      <c r="AM40" s="52">
        <f t="shared" si="48"/>
        <v>0</v>
      </c>
      <c r="AN40" s="52">
        <f>+(153.6)+(108)+(0)+(0)+(0)+(204)</f>
        <v>465.6</v>
      </c>
      <c r="AO40" s="72">
        <v>120</v>
      </c>
      <c r="AP40" s="74">
        <f t="shared" si="41"/>
        <v>852</v>
      </c>
      <c r="AQ40" s="76">
        <f>+(0)+(0)+(0)+(0)+(84)+(0)</f>
        <v>84</v>
      </c>
      <c r="AR40" s="76">
        <f t="shared" si="49"/>
        <v>0</v>
      </c>
      <c r="AS40" s="74">
        <v>120</v>
      </c>
      <c r="AT40" s="74">
        <f t="shared" si="42"/>
        <v>816</v>
      </c>
      <c r="AU40" s="73">
        <f t="shared" si="44"/>
        <v>0</v>
      </c>
      <c r="AV40" s="73">
        <f>+(75.6)+(0)+(96)+(0)+(0)+(0)+(0)+(186)</f>
        <v>357.6</v>
      </c>
      <c r="AW40" s="74">
        <v>120</v>
      </c>
      <c r="AX40" s="74">
        <f t="shared" si="66"/>
        <v>1053.5999999999999</v>
      </c>
      <c r="AY40" s="109">
        <f>+(0)+(0)+(0)+(54)</f>
        <v>54</v>
      </c>
      <c r="AZ40" s="109">
        <f>+(0)+(30)+(78)+(0)+(21)+(0)+(0)+(0)</f>
        <v>129</v>
      </c>
      <c r="BA40" s="61">
        <v>120</v>
      </c>
      <c r="BB40" s="61">
        <f t="shared" si="43"/>
        <v>1116.5999999999999</v>
      </c>
      <c r="BD40" s="88">
        <v>0</v>
      </c>
      <c r="BE40" s="88">
        <v>0</v>
      </c>
      <c r="BF40" s="88">
        <v>0</v>
      </c>
      <c r="BG40" s="88">
        <v>0</v>
      </c>
      <c r="BH40" s="88">
        <v>0</v>
      </c>
      <c r="BI40" s="88">
        <v>0</v>
      </c>
      <c r="BJ40" s="88">
        <v>0</v>
      </c>
      <c r="BK40" s="88">
        <v>0</v>
      </c>
      <c r="BL40" s="88">
        <v>0</v>
      </c>
      <c r="BM40" s="88">
        <v>0</v>
      </c>
      <c r="BN40" s="88">
        <v>0</v>
      </c>
      <c r="BO40" s="88">
        <v>0</v>
      </c>
      <c r="BP40" s="210">
        <v>120</v>
      </c>
      <c r="BQ40" s="208">
        <f t="shared" si="6"/>
        <v>996.59999999999991</v>
      </c>
      <c r="BR40" s="175">
        <f t="shared" si="7"/>
        <v>894.6</v>
      </c>
    </row>
    <row r="41" spans="1:70" ht="25.8" thickBot="1" x14ac:dyDescent="0.65">
      <c r="A41" s="64">
        <v>33</v>
      </c>
      <c r="B41" s="112" t="s">
        <v>255</v>
      </c>
      <c r="C41" s="113" t="s">
        <v>21</v>
      </c>
      <c r="D41" s="127">
        <v>43444</v>
      </c>
      <c r="E41" s="116">
        <v>4</v>
      </c>
      <c r="F41" s="116">
        <f t="shared" si="69"/>
        <v>2133.3200000000002</v>
      </c>
      <c r="G41" s="116">
        <f t="shared" si="67"/>
        <v>1566</v>
      </c>
      <c r="H41" s="117">
        <f t="shared" si="68"/>
        <v>3699.32</v>
      </c>
      <c r="I41" s="118">
        <v>11</v>
      </c>
      <c r="J41" s="88">
        <v>11</v>
      </c>
      <c r="L41" s="119">
        <v>46366</v>
      </c>
      <c r="M41" s="120"/>
      <c r="N41" s="121" t="str">
        <f t="shared" ca="1" si="70"/>
        <v>O.K.</v>
      </c>
      <c r="W41" s="1" t="s">
        <v>255</v>
      </c>
      <c r="X41" s="48">
        <v>216</v>
      </c>
      <c r="Y41" s="48">
        <v>0</v>
      </c>
      <c r="Z41" s="49">
        <v>0</v>
      </c>
      <c r="AA41" s="49">
        <v>150</v>
      </c>
      <c r="AB41" s="49">
        <v>150</v>
      </c>
      <c r="AC41" s="31">
        <v>342.6</v>
      </c>
      <c r="AD41" s="28">
        <f t="shared" si="38"/>
        <v>192.60000000000002</v>
      </c>
      <c r="AE41" s="52">
        <f>264+132</f>
        <v>396</v>
      </c>
      <c r="AF41" s="52">
        <f>+(0)+(132.6)+(0)+(0)+(54)+(162)</f>
        <v>348.6</v>
      </c>
      <c r="AG41" s="49">
        <v>150</v>
      </c>
      <c r="AH41" s="22">
        <f t="shared" si="39"/>
        <v>787.2</v>
      </c>
      <c r="AI41" s="52">
        <f>+(0)+(0)+(54)+(0)+(186)+(0)</f>
        <v>240</v>
      </c>
      <c r="AJ41" s="52">
        <f>+(186)+(0)+(0)+(0)+(0)+(0)</f>
        <v>186</v>
      </c>
      <c r="AK41" s="49">
        <v>150</v>
      </c>
      <c r="AL41" s="31">
        <f t="shared" si="40"/>
        <v>1063.2</v>
      </c>
      <c r="AM41" s="52">
        <f t="shared" si="48"/>
        <v>0</v>
      </c>
      <c r="AN41" s="52">
        <f>+(96)+(108)+(0)+(0)+(294)+(0)</f>
        <v>498</v>
      </c>
      <c r="AO41" s="72">
        <v>150</v>
      </c>
      <c r="AP41" s="74">
        <f t="shared" si="41"/>
        <v>1411.2</v>
      </c>
      <c r="AQ41" s="76">
        <f>+(0)+(0)+(0)+(78)+(186)+(108)</f>
        <v>372</v>
      </c>
      <c r="AR41" s="76">
        <f>+(0)+(204)+(0)+(0)+(0)+(0)</f>
        <v>204</v>
      </c>
      <c r="AS41" s="74">
        <v>150</v>
      </c>
      <c r="AT41" s="74">
        <f t="shared" si="42"/>
        <v>1837.2</v>
      </c>
      <c r="AU41" s="73">
        <f>+(0)+(0)+(0)+(96)</f>
        <v>96</v>
      </c>
      <c r="AV41" s="73">
        <f>+(0)+(0)+(0)+(78)+(0)+(120)+(0)+(0)</f>
        <v>198</v>
      </c>
      <c r="AW41" s="73">
        <v>150</v>
      </c>
      <c r="AX41" s="73">
        <f t="shared" si="66"/>
        <v>1981.1999999999998</v>
      </c>
      <c r="AY41" s="109">
        <f>+(0)+(0)+(0)+(0)</f>
        <v>0</v>
      </c>
      <c r="AZ41" s="109">
        <f>+(0)+(0)+(0)+(0)+(114)+(78)+(78)+(0)</f>
        <v>270</v>
      </c>
      <c r="BA41" s="61">
        <v>150</v>
      </c>
      <c r="BB41" s="61">
        <f t="shared" si="43"/>
        <v>2101.1999999999998</v>
      </c>
      <c r="BD41" s="153">
        <v>30</v>
      </c>
      <c r="BE41" s="153">
        <v>85.2</v>
      </c>
      <c r="BF41" s="88">
        <v>0</v>
      </c>
      <c r="BG41" s="88">
        <v>0</v>
      </c>
      <c r="BH41" s="88">
        <v>0</v>
      </c>
      <c r="BI41" s="88">
        <v>0</v>
      </c>
      <c r="BJ41" s="88">
        <v>0</v>
      </c>
      <c r="BK41" s="88">
        <v>0</v>
      </c>
      <c r="BL41" s="88">
        <v>0</v>
      </c>
      <c r="BM41" s="88">
        <v>0</v>
      </c>
      <c r="BN41" s="88">
        <v>0</v>
      </c>
      <c r="BO41" s="88">
        <v>0</v>
      </c>
      <c r="BP41" s="210">
        <v>150</v>
      </c>
      <c r="BQ41" s="208">
        <f t="shared" si="6"/>
        <v>2066.3999999999996</v>
      </c>
      <c r="BR41" s="175">
        <f t="shared" si="7"/>
        <v>1566</v>
      </c>
    </row>
    <row r="42" spans="1:70" ht="25.8" thickBot="1" x14ac:dyDescent="0.65">
      <c r="A42" s="64">
        <v>34</v>
      </c>
      <c r="B42" s="112" t="s">
        <v>428</v>
      </c>
      <c r="C42" s="113" t="s">
        <v>19</v>
      </c>
      <c r="D42" s="127">
        <v>45307</v>
      </c>
      <c r="E42" s="116">
        <v>0</v>
      </c>
      <c r="F42" s="116">
        <f t="shared" si="69"/>
        <v>0</v>
      </c>
      <c r="G42" s="116">
        <f t="shared" ref="G42" si="71">+BR42</f>
        <v>318</v>
      </c>
      <c r="H42" s="117">
        <f t="shared" ref="H42" si="72">+F42+G42</f>
        <v>318</v>
      </c>
      <c r="I42" s="118">
        <v>15</v>
      </c>
      <c r="J42" s="88">
        <v>15</v>
      </c>
      <c r="L42" s="119">
        <v>46038</v>
      </c>
      <c r="M42" s="120"/>
      <c r="N42" s="121" t="str">
        <f t="shared" ca="1" si="70"/>
        <v>O.K.</v>
      </c>
      <c r="W42" s="1" t="s">
        <v>428</v>
      </c>
      <c r="X42" s="48">
        <v>0</v>
      </c>
      <c r="Y42" s="48">
        <v>0</v>
      </c>
      <c r="Z42" s="49">
        <v>0</v>
      </c>
      <c r="AA42" s="49">
        <v>0</v>
      </c>
      <c r="AB42" s="49">
        <v>0</v>
      </c>
      <c r="AC42" s="31">
        <v>0</v>
      </c>
      <c r="AD42" s="28">
        <f t="shared" si="38"/>
        <v>0</v>
      </c>
      <c r="AE42" s="52">
        <v>0</v>
      </c>
      <c r="AF42" s="52">
        <v>0</v>
      </c>
      <c r="AG42" s="49">
        <v>0</v>
      </c>
      <c r="AH42" s="22">
        <f t="shared" si="39"/>
        <v>0</v>
      </c>
      <c r="AI42" s="52">
        <v>0</v>
      </c>
      <c r="AJ42" s="52">
        <v>0</v>
      </c>
      <c r="AK42" s="49">
        <v>0</v>
      </c>
      <c r="AL42" s="31">
        <f t="shared" si="40"/>
        <v>0</v>
      </c>
      <c r="AM42" s="52">
        <v>0</v>
      </c>
      <c r="AN42" s="52">
        <v>0</v>
      </c>
      <c r="AO42" s="72">
        <v>0</v>
      </c>
      <c r="AP42" s="74">
        <f t="shared" si="41"/>
        <v>0</v>
      </c>
      <c r="AQ42" s="76">
        <v>0</v>
      </c>
      <c r="AR42" s="76">
        <v>0</v>
      </c>
      <c r="AS42" s="74">
        <v>0</v>
      </c>
      <c r="AT42" s="74">
        <f t="shared" si="42"/>
        <v>0</v>
      </c>
      <c r="AU42" s="73">
        <f t="shared" si="44"/>
        <v>0</v>
      </c>
      <c r="AV42" s="73">
        <f>+(0)+(0)+(0)+(0)+(0)+(0)+(78)+(0)</f>
        <v>78</v>
      </c>
      <c r="AW42" s="73">
        <v>78</v>
      </c>
      <c r="AX42" s="73">
        <f t="shared" si="66"/>
        <v>0</v>
      </c>
      <c r="AY42" s="109">
        <f>+(0)+(51)+(0)+(54)</f>
        <v>105</v>
      </c>
      <c r="AZ42" s="109">
        <f>+(0)+(0)+(0)+(0)+(0)+(30)+(0)+(108)</f>
        <v>138</v>
      </c>
      <c r="BA42" s="61">
        <v>120</v>
      </c>
      <c r="BB42" s="61">
        <f t="shared" si="43"/>
        <v>123</v>
      </c>
      <c r="BD42" s="88">
        <v>0</v>
      </c>
      <c r="BE42" s="88">
        <v>0</v>
      </c>
      <c r="BF42" s="88">
        <v>0</v>
      </c>
      <c r="BG42" s="88">
        <v>0</v>
      </c>
      <c r="BH42" s="88">
        <v>0</v>
      </c>
      <c r="BI42" s="88">
        <v>0</v>
      </c>
      <c r="BJ42" s="88">
        <v>0</v>
      </c>
      <c r="BK42" s="88">
        <v>0</v>
      </c>
      <c r="BL42" s="88">
        <v>0</v>
      </c>
      <c r="BM42" s="88">
        <v>0</v>
      </c>
      <c r="BN42" s="88">
        <v>0</v>
      </c>
      <c r="BO42" s="88">
        <v>0</v>
      </c>
      <c r="BP42" s="210">
        <v>120</v>
      </c>
      <c r="BQ42" s="208">
        <f t="shared" si="6"/>
        <v>3</v>
      </c>
      <c r="BR42" s="175">
        <f t="shared" si="7"/>
        <v>318</v>
      </c>
    </row>
    <row r="43" spans="1:70" ht="25.8" thickBot="1" x14ac:dyDescent="0.65">
      <c r="A43" s="64">
        <v>35</v>
      </c>
      <c r="B43" s="112" t="s">
        <v>426</v>
      </c>
      <c r="C43" s="113" t="s">
        <v>171</v>
      </c>
      <c r="D43" s="127">
        <v>45292</v>
      </c>
      <c r="E43" s="116">
        <v>0</v>
      </c>
      <c r="F43" s="116">
        <f t="shared" si="69"/>
        <v>0</v>
      </c>
      <c r="G43" s="116">
        <f t="shared" ref="G43" si="73">+BR43</f>
        <v>348</v>
      </c>
      <c r="H43" s="117">
        <f t="shared" ref="H43" si="74">+F43+G43</f>
        <v>348</v>
      </c>
      <c r="I43" s="118">
        <v>15</v>
      </c>
      <c r="J43" s="88">
        <v>15</v>
      </c>
      <c r="L43" s="119">
        <v>46023</v>
      </c>
      <c r="M43" s="120"/>
      <c r="N43" s="121" t="str">
        <f t="shared" ca="1" si="70"/>
        <v>O.K.</v>
      </c>
      <c r="W43" s="1" t="s">
        <v>426</v>
      </c>
      <c r="X43" s="125">
        <v>294</v>
      </c>
      <c r="Y43" s="48">
        <v>0</v>
      </c>
      <c r="Z43" s="49">
        <v>0</v>
      </c>
      <c r="AA43" s="49">
        <v>0</v>
      </c>
      <c r="AB43" s="49">
        <v>0</v>
      </c>
      <c r="AC43" s="31">
        <v>0</v>
      </c>
      <c r="AD43" s="28">
        <f t="shared" si="38"/>
        <v>0</v>
      </c>
      <c r="AE43" s="52">
        <v>0</v>
      </c>
      <c r="AF43" s="52">
        <v>0</v>
      </c>
      <c r="AG43" s="49">
        <v>0</v>
      </c>
      <c r="AH43" s="22">
        <f t="shared" si="39"/>
        <v>0</v>
      </c>
      <c r="AI43" s="52">
        <v>0</v>
      </c>
      <c r="AJ43" s="52">
        <v>0</v>
      </c>
      <c r="AK43" s="49">
        <v>0</v>
      </c>
      <c r="AL43" s="31">
        <f t="shared" si="40"/>
        <v>0</v>
      </c>
      <c r="AM43" s="52">
        <v>0</v>
      </c>
      <c r="AN43" s="52">
        <v>0</v>
      </c>
      <c r="AO43" s="72">
        <v>0</v>
      </c>
      <c r="AP43" s="74">
        <f t="shared" si="41"/>
        <v>0</v>
      </c>
      <c r="AQ43" s="76">
        <v>0</v>
      </c>
      <c r="AR43" s="76">
        <v>0</v>
      </c>
      <c r="AS43" s="74">
        <v>0</v>
      </c>
      <c r="AT43" s="74">
        <f t="shared" si="42"/>
        <v>0</v>
      </c>
      <c r="AU43" s="73">
        <f t="shared" si="44"/>
        <v>0</v>
      </c>
      <c r="AV43" s="73">
        <f t="shared" si="30"/>
        <v>0</v>
      </c>
      <c r="AW43" s="73">
        <v>0</v>
      </c>
      <c r="AX43" s="73">
        <f t="shared" si="66"/>
        <v>0</v>
      </c>
      <c r="AY43" s="109">
        <f>+(0)+(0)+(0)+(54)</f>
        <v>54</v>
      </c>
      <c r="AZ43" s="109">
        <f>+(0)+(0)+(0)+(0)+(0)+(0)+(0)+(0)</f>
        <v>0</v>
      </c>
      <c r="BA43" s="61">
        <v>54</v>
      </c>
      <c r="BB43" s="61">
        <f t="shared" si="43"/>
        <v>0</v>
      </c>
      <c r="BD43" s="88">
        <v>0</v>
      </c>
      <c r="BE43" s="88">
        <v>0</v>
      </c>
      <c r="BF43" s="88">
        <v>0</v>
      </c>
      <c r="BG43" s="88">
        <v>0</v>
      </c>
      <c r="BH43" s="88">
        <v>0</v>
      </c>
      <c r="BI43" s="88">
        <v>0</v>
      </c>
      <c r="BJ43" s="88">
        <v>0</v>
      </c>
      <c r="BK43" s="88">
        <v>0</v>
      </c>
      <c r="BL43" s="88">
        <v>0</v>
      </c>
      <c r="BM43" s="88">
        <v>0</v>
      </c>
      <c r="BN43" s="88">
        <v>0</v>
      </c>
      <c r="BO43" s="88">
        <v>0</v>
      </c>
      <c r="BP43" s="210">
        <v>0</v>
      </c>
      <c r="BQ43" s="208">
        <f t="shared" si="6"/>
        <v>0</v>
      </c>
      <c r="BR43" s="175">
        <f t="shared" si="7"/>
        <v>348</v>
      </c>
    </row>
    <row r="44" spans="1:70" ht="25.8" thickBot="1" x14ac:dyDescent="0.65">
      <c r="A44" s="64">
        <v>36</v>
      </c>
      <c r="B44" s="166" t="s">
        <v>40</v>
      </c>
      <c r="C44" s="156" t="s">
        <v>20</v>
      </c>
      <c r="D44" s="166" t="s">
        <v>124</v>
      </c>
      <c r="E44" s="168">
        <v>7</v>
      </c>
      <c r="F44" s="160">
        <f t="shared" si="69"/>
        <v>3733.3100000000004</v>
      </c>
      <c r="G44" s="160">
        <f t="shared" ref="G44:G56" si="75">+BR44</f>
        <v>2346</v>
      </c>
      <c r="H44" s="161">
        <f t="shared" ref="H44:H55" si="76">+F44+G44</f>
        <v>6079.31</v>
      </c>
      <c r="I44" s="162">
        <v>8</v>
      </c>
      <c r="J44" s="88">
        <v>8</v>
      </c>
      <c r="L44" s="173">
        <v>46453</v>
      </c>
      <c r="M44" s="164"/>
      <c r="N44" s="165" t="str">
        <f t="shared" ca="1" si="70"/>
        <v>O.K.</v>
      </c>
      <c r="W44" s="1" t="s">
        <v>40</v>
      </c>
      <c r="X44" s="50">
        <v>750</v>
      </c>
      <c r="Y44" s="48">
        <v>150</v>
      </c>
      <c r="Z44" s="49">
        <v>96</v>
      </c>
      <c r="AA44" s="49">
        <v>150</v>
      </c>
      <c r="AB44" s="49">
        <v>150</v>
      </c>
      <c r="AC44" s="31">
        <v>318</v>
      </c>
      <c r="AD44" s="28">
        <f t="shared" si="38"/>
        <v>168</v>
      </c>
      <c r="AE44" s="52">
        <v>0</v>
      </c>
      <c r="AF44" s="52">
        <f>+(0)+(0)+(78)+(0)+(84)+(54)</f>
        <v>216</v>
      </c>
      <c r="AG44" s="49">
        <v>150</v>
      </c>
      <c r="AH44" s="22">
        <f t="shared" si="39"/>
        <v>234</v>
      </c>
      <c r="AI44" s="52">
        <f>+(0)+(0)+(78)+(0)+(0)+(0)</f>
        <v>78</v>
      </c>
      <c r="AJ44" s="52">
        <f>+(78)+(0)+(0)+(0)+(0)+(0)</f>
        <v>78</v>
      </c>
      <c r="AK44" s="49">
        <v>150</v>
      </c>
      <c r="AL44" s="31">
        <f t="shared" si="40"/>
        <v>240</v>
      </c>
      <c r="AM44" s="52">
        <f t="shared" si="48"/>
        <v>0</v>
      </c>
      <c r="AN44" s="52">
        <f>+(0)+(0)+(0)+(0)+(0)+(30)</f>
        <v>30</v>
      </c>
      <c r="AO44" s="72">
        <v>150</v>
      </c>
      <c r="AP44" s="74">
        <f t="shared" si="41"/>
        <v>120</v>
      </c>
      <c r="AQ44" s="76">
        <f>+(108)+(0)+(0)+(0)+(54)+(96)</f>
        <v>258</v>
      </c>
      <c r="AR44" s="76">
        <f t="shared" si="49"/>
        <v>0</v>
      </c>
      <c r="AS44" s="74">
        <v>150</v>
      </c>
      <c r="AT44" s="74">
        <f t="shared" si="42"/>
        <v>228</v>
      </c>
      <c r="AU44" s="73">
        <f>+(0)+(0)+(0)+(271.2)</f>
        <v>271.2</v>
      </c>
      <c r="AV44" s="73">
        <f>+(0)+(0)+(0)+(0)+(0)+(0)+(108)+(0)</f>
        <v>108</v>
      </c>
      <c r="AW44" s="73">
        <v>150</v>
      </c>
      <c r="AX44" s="73">
        <f t="shared" si="66"/>
        <v>457.20000000000005</v>
      </c>
      <c r="AY44" s="109">
        <f>+(0)+(0)+(0)+(0)</f>
        <v>0</v>
      </c>
      <c r="AZ44" s="109">
        <f>+(0)+(96)+(0)+(0)+(30)+(0)+(78)+(0)</f>
        <v>204</v>
      </c>
      <c r="BA44" s="61">
        <v>150</v>
      </c>
      <c r="BB44" s="61">
        <f t="shared" si="43"/>
        <v>511.20000000000005</v>
      </c>
      <c r="BD44" s="153">
        <v>120</v>
      </c>
      <c r="BE44" s="88">
        <v>0</v>
      </c>
      <c r="BF44" s="88">
        <v>0</v>
      </c>
      <c r="BG44" s="88">
        <v>0</v>
      </c>
      <c r="BH44" s="88">
        <v>0</v>
      </c>
      <c r="BI44" s="88">
        <v>0</v>
      </c>
      <c r="BJ44" s="88">
        <v>0</v>
      </c>
      <c r="BK44" s="88">
        <v>0</v>
      </c>
      <c r="BL44" s="88">
        <v>0</v>
      </c>
      <c r="BM44" s="88">
        <v>0</v>
      </c>
      <c r="BN44" s="88">
        <v>0</v>
      </c>
      <c r="BO44" s="88">
        <v>0</v>
      </c>
      <c r="BP44" s="210">
        <v>150</v>
      </c>
      <c r="BQ44" s="208">
        <f t="shared" si="6"/>
        <v>481.20000000000005</v>
      </c>
      <c r="BR44" s="175">
        <f t="shared" si="7"/>
        <v>2346</v>
      </c>
    </row>
    <row r="45" spans="1:70" ht="25.8" thickBot="1" x14ac:dyDescent="0.65">
      <c r="A45" s="64">
        <v>37</v>
      </c>
      <c r="B45" s="166" t="s">
        <v>41</v>
      </c>
      <c r="C45" s="156" t="s">
        <v>20</v>
      </c>
      <c r="D45" s="172" t="s">
        <v>15</v>
      </c>
      <c r="E45" s="168">
        <v>6</v>
      </c>
      <c r="F45" s="160">
        <f t="shared" si="69"/>
        <v>3199.9800000000005</v>
      </c>
      <c r="G45" s="160">
        <f t="shared" si="75"/>
        <v>1875</v>
      </c>
      <c r="H45" s="161">
        <f t="shared" si="76"/>
        <v>5074.9800000000005</v>
      </c>
      <c r="I45" s="162">
        <v>9</v>
      </c>
      <c r="J45" s="88">
        <v>9</v>
      </c>
      <c r="K45" s="212" t="s">
        <v>315</v>
      </c>
      <c r="L45" s="173">
        <v>46493</v>
      </c>
      <c r="M45" s="164"/>
      <c r="N45" s="165" t="str">
        <f t="shared" ca="1" si="70"/>
        <v>O.K.</v>
      </c>
      <c r="W45" s="1" t="s">
        <v>41</v>
      </c>
      <c r="X45" s="50">
        <v>225</v>
      </c>
      <c r="Y45" s="48">
        <v>150</v>
      </c>
      <c r="Z45" s="49">
        <v>150</v>
      </c>
      <c r="AA45" s="49">
        <v>150</v>
      </c>
      <c r="AB45" s="49">
        <v>150</v>
      </c>
      <c r="AC45" s="31">
        <v>372</v>
      </c>
      <c r="AD45" s="28">
        <f t="shared" si="38"/>
        <v>222</v>
      </c>
      <c r="AE45" s="52">
        <f>84.6+54</f>
        <v>138.6</v>
      </c>
      <c r="AF45" s="52">
        <f>+(78)+(108)+(0)+(0)+(54)+(54)</f>
        <v>294</v>
      </c>
      <c r="AG45" s="49">
        <v>150</v>
      </c>
      <c r="AH45" s="22">
        <f t="shared" si="39"/>
        <v>504.6</v>
      </c>
      <c r="AI45" s="52">
        <f t="shared" si="47"/>
        <v>0</v>
      </c>
      <c r="AJ45" s="52">
        <f>+(78)+(0)+(0)+(0)+(0)+(0)</f>
        <v>78</v>
      </c>
      <c r="AK45" s="49">
        <v>150</v>
      </c>
      <c r="AL45" s="31">
        <f t="shared" si="40"/>
        <v>432.6</v>
      </c>
      <c r="AM45" s="52">
        <f t="shared" si="48"/>
        <v>0</v>
      </c>
      <c r="AN45" s="52">
        <f>+(0)+(78)+(0)+(0)+(78)+(0)</f>
        <v>156</v>
      </c>
      <c r="AO45" s="72">
        <v>150</v>
      </c>
      <c r="AP45" s="74">
        <f t="shared" si="41"/>
        <v>438.6</v>
      </c>
      <c r="AQ45" s="76">
        <f>+(0)+(0)+(0)+(0)+(54)+(0)</f>
        <v>54</v>
      </c>
      <c r="AR45" s="76">
        <f t="shared" si="49"/>
        <v>0</v>
      </c>
      <c r="AS45" s="74">
        <v>150</v>
      </c>
      <c r="AT45" s="74">
        <f t="shared" si="42"/>
        <v>342.6</v>
      </c>
      <c r="AU45" s="73">
        <f>+(0)+(0)+(0)+(174)</f>
        <v>174</v>
      </c>
      <c r="AV45" s="73">
        <f>+(0)+(30)+(0)+(0)+(0)+(0)+(108)+(0)</f>
        <v>138</v>
      </c>
      <c r="AW45" s="73">
        <v>150</v>
      </c>
      <c r="AX45" s="73">
        <f t="shared" si="66"/>
        <v>504.6</v>
      </c>
      <c r="AY45" s="109">
        <f>+(0)+(0)+(0)+(78)</f>
        <v>78</v>
      </c>
      <c r="AZ45" s="109">
        <f>+(0)+(96)+(78)+(0)+(204)+(0)+(0)+(0)</f>
        <v>378</v>
      </c>
      <c r="BA45" s="61">
        <v>150</v>
      </c>
      <c r="BB45" s="61">
        <f t="shared" si="43"/>
        <v>810.6</v>
      </c>
      <c r="BD45" s="88">
        <v>0</v>
      </c>
      <c r="BE45" s="153">
        <v>78</v>
      </c>
      <c r="BF45" s="88">
        <v>0</v>
      </c>
      <c r="BG45" s="88">
        <v>0</v>
      </c>
      <c r="BH45" s="88">
        <v>0</v>
      </c>
      <c r="BI45" s="88">
        <v>0</v>
      </c>
      <c r="BJ45" s="88">
        <v>0</v>
      </c>
      <c r="BK45" s="88">
        <v>0</v>
      </c>
      <c r="BL45" s="88">
        <v>0</v>
      </c>
      <c r="BM45" s="88">
        <v>0</v>
      </c>
      <c r="BN45" s="88">
        <v>0</v>
      </c>
      <c r="BO45" s="88">
        <v>0</v>
      </c>
      <c r="BP45" s="210">
        <v>150</v>
      </c>
      <c r="BQ45" s="208">
        <f t="shared" si="6"/>
        <v>738.6</v>
      </c>
      <c r="BR45" s="175">
        <f t="shared" si="7"/>
        <v>1875</v>
      </c>
    </row>
    <row r="46" spans="1:70" ht="25.8" thickBot="1" x14ac:dyDescent="0.65">
      <c r="A46" s="64">
        <v>38</v>
      </c>
      <c r="B46" s="124" t="s">
        <v>172</v>
      </c>
      <c r="C46" s="113" t="s">
        <v>21</v>
      </c>
      <c r="D46" s="124" t="s">
        <v>16</v>
      </c>
      <c r="E46" s="115">
        <v>12</v>
      </c>
      <c r="F46" s="116">
        <f t="shared" si="69"/>
        <v>6399.9600000000009</v>
      </c>
      <c r="G46" s="116">
        <f t="shared" si="75"/>
        <v>3792</v>
      </c>
      <c r="H46" s="117">
        <f t="shared" si="76"/>
        <v>10191.960000000001</v>
      </c>
      <c r="I46" s="118">
        <v>3</v>
      </c>
      <c r="J46" s="88">
        <v>3</v>
      </c>
      <c r="L46" s="119">
        <v>46265</v>
      </c>
      <c r="M46" s="120"/>
      <c r="N46" s="121" t="str">
        <f t="shared" ca="1" si="70"/>
        <v>O.K.</v>
      </c>
      <c r="W46" s="1" t="s">
        <v>172</v>
      </c>
      <c r="X46" s="50">
        <v>2400</v>
      </c>
      <c r="Y46" s="48">
        <v>150</v>
      </c>
      <c r="Z46" s="49">
        <v>96</v>
      </c>
      <c r="AA46" s="49">
        <v>96</v>
      </c>
      <c r="AB46" s="49">
        <v>0</v>
      </c>
      <c r="AC46" s="31">
        <v>0</v>
      </c>
      <c r="AD46" s="28">
        <f t="shared" si="38"/>
        <v>0</v>
      </c>
      <c r="AE46" s="52">
        <v>0</v>
      </c>
      <c r="AF46" s="52">
        <f>+(0)+(204)+(0)+(0)+(54)+(162)</f>
        <v>420</v>
      </c>
      <c r="AG46" s="49">
        <v>150</v>
      </c>
      <c r="AH46" s="22">
        <f t="shared" si="39"/>
        <v>270</v>
      </c>
      <c r="AI46" s="52">
        <f t="shared" si="47"/>
        <v>0</v>
      </c>
      <c r="AJ46" s="52">
        <f>+(78)+(0)+(0)+(0)+(78)+(0)</f>
        <v>156</v>
      </c>
      <c r="AK46" s="49">
        <v>150</v>
      </c>
      <c r="AL46" s="31">
        <f t="shared" si="40"/>
        <v>276</v>
      </c>
      <c r="AM46" s="52">
        <f t="shared" si="48"/>
        <v>0</v>
      </c>
      <c r="AN46" s="52">
        <f>+(0)+(0)+(0)+(0)+(0)+(0)</f>
        <v>0</v>
      </c>
      <c r="AO46" s="72">
        <v>150</v>
      </c>
      <c r="AP46" s="74">
        <f t="shared" si="41"/>
        <v>126</v>
      </c>
      <c r="AQ46" s="76">
        <f>+(67.2)+(0)+(0)+(0)+(54)+(0)</f>
        <v>121.2</v>
      </c>
      <c r="AR46" s="76">
        <f t="shared" si="49"/>
        <v>0</v>
      </c>
      <c r="AS46" s="74">
        <v>150</v>
      </c>
      <c r="AT46" s="74">
        <f t="shared" si="42"/>
        <v>97.199999999999989</v>
      </c>
      <c r="AU46" s="73">
        <f>+(0)+(0)+(0)+(246)</f>
        <v>246</v>
      </c>
      <c r="AV46" s="73">
        <f>+(126)+(0)+(0)+(0)+(0)+(0)+(0)+(0)</f>
        <v>126</v>
      </c>
      <c r="AW46" s="73">
        <v>150</v>
      </c>
      <c r="AX46" s="73">
        <f t="shared" si="66"/>
        <v>319.2</v>
      </c>
      <c r="AY46" s="109">
        <f>+(0)+(0)+(0)+(0)</f>
        <v>0</v>
      </c>
      <c r="AZ46" s="109">
        <f>+(0)+(54)+(0)+(0)+(0)+(0)+(0)+(108)</f>
        <v>162</v>
      </c>
      <c r="BA46" s="61">
        <v>150</v>
      </c>
      <c r="BB46" s="61">
        <f t="shared" si="43"/>
        <v>331.2</v>
      </c>
      <c r="BD46" s="88">
        <v>0</v>
      </c>
      <c r="BE46" s="88">
        <v>0</v>
      </c>
      <c r="BF46" s="88">
        <v>0</v>
      </c>
      <c r="BG46" s="88">
        <v>0</v>
      </c>
      <c r="BH46" s="88">
        <v>0</v>
      </c>
      <c r="BI46" s="88">
        <v>0</v>
      </c>
      <c r="BJ46" s="88">
        <v>0</v>
      </c>
      <c r="BK46" s="88">
        <v>0</v>
      </c>
      <c r="BL46" s="88">
        <v>0</v>
      </c>
      <c r="BM46" s="88">
        <v>0</v>
      </c>
      <c r="BN46" s="88">
        <v>0</v>
      </c>
      <c r="BO46" s="88">
        <v>0</v>
      </c>
      <c r="BP46" s="210">
        <v>150</v>
      </c>
      <c r="BQ46" s="208">
        <f t="shared" si="6"/>
        <v>181.2</v>
      </c>
      <c r="BR46" s="175">
        <f t="shared" si="7"/>
        <v>3792</v>
      </c>
    </row>
    <row r="47" spans="1:70" ht="25.8" thickBot="1" x14ac:dyDescent="0.65">
      <c r="A47" s="64">
        <v>39</v>
      </c>
      <c r="B47" s="112" t="s">
        <v>42</v>
      </c>
      <c r="C47" s="113" t="s">
        <v>20</v>
      </c>
      <c r="D47" s="112" t="s">
        <v>125</v>
      </c>
      <c r="E47" s="115">
        <v>10</v>
      </c>
      <c r="F47" s="116">
        <f t="shared" si="69"/>
        <v>5333.3</v>
      </c>
      <c r="G47" s="116">
        <f t="shared" si="75"/>
        <v>2663.2</v>
      </c>
      <c r="H47" s="117">
        <f t="shared" si="76"/>
        <v>7996.5</v>
      </c>
      <c r="I47" s="118">
        <v>6</v>
      </c>
      <c r="J47" s="88">
        <v>6</v>
      </c>
      <c r="L47" s="119">
        <v>46204</v>
      </c>
      <c r="M47" s="120"/>
      <c r="N47" s="121" t="str">
        <f t="shared" ca="1" si="70"/>
        <v>O.K.</v>
      </c>
      <c r="W47" s="1" t="s">
        <v>42</v>
      </c>
      <c r="X47" s="50">
        <v>1546</v>
      </c>
      <c r="Y47" s="48">
        <v>96</v>
      </c>
      <c r="Z47" s="49">
        <v>96</v>
      </c>
      <c r="AA47" s="49">
        <v>150</v>
      </c>
      <c r="AB47" s="49">
        <v>150</v>
      </c>
      <c r="AC47" s="31">
        <v>186</v>
      </c>
      <c r="AD47" s="28">
        <f t="shared" si="38"/>
        <v>36</v>
      </c>
      <c r="AE47" s="52">
        <v>78</v>
      </c>
      <c r="AF47" s="52">
        <f>+(0)+(0)+(0)+(0)+(54)+(54)</f>
        <v>108</v>
      </c>
      <c r="AG47" s="49">
        <v>150</v>
      </c>
      <c r="AH47" s="22">
        <f t="shared" si="39"/>
        <v>72</v>
      </c>
      <c r="AI47" s="52">
        <f t="shared" si="47"/>
        <v>0</v>
      </c>
      <c r="AJ47" s="52">
        <f t="shared" si="47"/>
        <v>0</v>
      </c>
      <c r="AK47" s="49">
        <v>72</v>
      </c>
      <c r="AL47" s="31">
        <f t="shared" si="40"/>
        <v>0</v>
      </c>
      <c r="AM47" s="52">
        <f t="shared" si="48"/>
        <v>0</v>
      </c>
      <c r="AN47" s="52">
        <f>+(0)+(0)+(0)+(0)+(0)+(67.2)</f>
        <v>67.2</v>
      </c>
      <c r="AO47" s="72">
        <v>67.2</v>
      </c>
      <c r="AP47" s="74">
        <f t="shared" si="41"/>
        <v>0</v>
      </c>
      <c r="AQ47" s="76">
        <f>+(108)+(0)+(0)+(0)+(54)+(0)</f>
        <v>162</v>
      </c>
      <c r="AR47" s="76">
        <f t="shared" si="49"/>
        <v>0</v>
      </c>
      <c r="AS47" s="74">
        <v>150</v>
      </c>
      <c r="AT47" s="74">
        <f t="shared" si="42"/>
        <v>12</v>
      </c>
      <c r="AU47" s="73">
        <f>+(0)+(0)+(0)+(174)</f>
        <v>174</v>
      </c>
      <c r="AV47" s="73">
        <f t="shared" si="30"/>
        <v>0</v>
      </c>
      <c r="AW47" s="73">
        <v>150</v>
      </c>
      <c r="AX47" s="73">
        <f t="shared" si="66"/>
        <v>36</v>
      </c>
      <c r="AY47" s="109">
        <f>+(0)+(0)+(0)+(0)</f>
        <v>0</v>
      </c>
      <c r="AZ47" s="109">
        <f>+(0)+(0)+(0)+(0)+(0)+(0)+(0)+(0)</f>
        <v>0</v>
      </c>
      <c r="BA47" s="61">
        <v>36</v>
      </c>
      <c r="BB47" s="61">
        <f t="shared" ref="BB47:BB115" si="77">(AX47+AY47+AZ47)-BA47</f>
        <v>0</v>
      </c>
      <c r="BD47" s="88">
        <v>0</v>
      </c>
      <c r="BE47" s="88">
        <v>0</v>
      </c>
      <c r="BF47" s="88">
        <v>0</v>
      </c>
      <c r="BG47" s="88">
        <v>0</v>
      </c>
      <c r="BH47" s="88">
        <v>0</v>
      </c>
      <c r="BI47" s="88">
        <v>0</v>
      </c>
      <c r="BJ47" s="88">
        <v>0</v>
      </c>
      <c r="BK47" s="88">
        <v>0</v>
      </c>
      <c r="BL47" s="88">
        <v>0</v>
      </c>
      <c r="BM47" s="88">
        <v>0</v>
      </c>
      <c r="BN47" s="88">
        <v>0</v>
      </c>
      <c r="BO47" s="88">
        <v>0</v>
      </c>
      <c r="BP47" s="210">
        <v>0</v>
      </c>
      <c r="BQ47" s="208">
        <f t="shared" si="6"/>
        <v>0</v>
      </c>
      <c r="BR47" s="175">
        <f t="shared" si="7"/>
        <v>2663.2</v>
      </c>
    </row>
    <row r="48" spans="1:70" ht="25.8" thickBot="1" x14ac:dyDescent="0.65">
      <c r="A48" s="64">
        <v>40</v>
      </c>
      <c r="B48" s="166" t="s">
        <v>43</v>
      </c>
      <c r="C48" s="156" t="s">
        <v>23</v>
      </c>
      <c r="D48" s="172" t="s">
        <v>13</v>
      </c>
      <c r="E48" s="168">
        <v>5</v>
      </c>
      <c r="F48" s="160">
        <f t="shared" si="69"/>
        <v>2666.65</v>
      </c>
      <c r="G48" s="160">
        <f t="shared" si="75"/>
        <v>1296</v>
      </c>
      <c r="H48" s="161">
        <f t="shared" si="76"/>
        <v>3962.65</v>
      </c>
      <c r="I48" s="162">
        <v>10</v>
      </c>
      <c r="J48" s="88">
        <v>10</v>
      </c>
      <c r="L48" s="173">
        <v>46388</v>
      </c>
      <c r="M48" s="164"/>
      <c r="N48" s="165" t="str">
        <f t="shared" ca="1" si="70"/>
        <v>O.K.</v>
      </c>
      <c r="W48" s="1" t="s">
        <v>43</v>
      </c>
      <c r="X48" s="50">
        <v>0</v>
      </c>
      <c r="Y48" s="48">
        <v>120</v>
      </c>
      <c r="Z48" s="49">
        <v>96</v>
      </c>
      <c r="AA48" s="49">
        <v>120</v>
      </c>
      <c r="AB48" s="49">
        <v>120</v>
      </c>
      <c r="AC48" s="31">
        <v>264</v>
      </c>
      <c r="AD48" s="28">
        <f t="shared" si="38"/>
        <v>144</v>
      </c>
      <c r="AE48" s="52">
        <v>54</v>
      </c>
      <c r="AF48" s="52">
        <f>+(0)+(0)+(0)+(0)+(91.8)+(54)</f>
        <v>145.80000000000001</v>
      </c>
      <c r="AG48" s="49">
        <v>120</v>
      </c>
      <c r="AH48" s="22">
        <f t="shared" si="39"/>
        <v>223.8</v>
      </c>
      <c r="AI48" s="52">
        <f t="shared" si="47"/>
        <v>0</v>
      </c>
      <c r="AJ48" s="52">
        <f>+(0)+(186)+(0)+(0)+(0)+(0)</f>
        <v>186</v>
      </c>
      <c r="AK48" s="49">
        <v>120</v>
      </c>
      <c r="AL48" s="31">
        <f t="shared" si="40"/>
        <v>289.8</v>
      </c>
      <c r="AM48" s="52">
        <f>+(0)+(186)+(0)+(0)+(0)+(0)</f>
        <v>186</v>
      </c>
      <c r="AN48" s="52">
        <f>+(0)+(0)+(0)+(0)+(324)+(108)</f>
        <v>432</v>
      </c>
      <c r="AO48" s="72">
        <v>120</v>
      </c>
      <c r="AP48" s="74">
        <f t="shared" si="41"/>
        <v>787.8</v>
      </c>
      <c r="AQ48" s="76">
        <f>+(0)+(0)+(0)+(0)+(54)+(0)</f>
        <v>54</v>
      </c>
      <c r="AR48" s="76">
        <f>+(54)+(240.6)+(0)+(0)+(0)+(0)</f>
        <v>294.60000000000002</v>
      </c>
      <c r="AS48" s="74">
        <v>120</v>
      </c>
      <c r="AT48" s="74">
        <f t="shared" si="42"/>
        <v>1016.4000000000001</v>
      </c>
      <c r="AU48" s="73">
        <f t="shared" si="44"/>
        <v>0</v>
      </c>
      <c r="AV48" s="73">
        <f t="shared" si="30"/>
        <v>0</v>
      </c>
      <c r="AW48" s="73">
        <v>120</v>
      </c>
      <c r="AX48" s="73">
        <f t="shared" si="66"/>
        <v>896.40000000000009</v>
      </c>
      <c r="AY48" s="109">
        <f>+(0)+(0)+(0)+(0)</f>
        <v>0</v>
      </c>
      <c r="AZ48" s="109">
        <f>+(0)+(0)+(0)+(0)+(0)+(30)+(0)+(0)</f>
        <v>30</v>
      </c>
      <c r="BA48" s="61">
        <v>120</v>
      </c>
      <c r="BB48" s="61">
        <f t="shared" si="77"/>
        <v>806.40000000000009</v>
      </c>
      <c r="BD48" s="88">
        <v>0</v>
      </c>
      <c r="BE48" s="88">
        <v>0</v>
      </c>
      <c r="BF48" s="88">
        <v>0</v>
      </c>
      <c r="BG48" s="88">
        <v>0</v>
      </c>
      <c r="BH48" s="88">
        <v>0</v>
      </c>
      <c r="BI48" s="88">
        <v>0</v>
      </c>
      <c r="BJ48" s="88">
        <v>0</v>
      </c>
      <c r="BK48" s="88">
        <v>0</v>
      </c>
      <c r="BL48" s="88">
        <v>0</v>
      </c>
      <c r="BM48" s="88">
        <v>0</v>
      </c>
      <c r="BN48" s="88">
        <v>0</v>
      </c>
      <c r="BO48" s="88">
        <v>0</v>
      </c>
      <c r="BP48" s="210">
        <v>120</v>
      </c>
      <c r="BQ48" s="208">
        <f t="shared" si="6"/>
        <v>686.40000000000009</v>
      </c>
      <c r="BR48" s="175">
        <f t="shared" si="7"/>
        <v>1296</v>
      </c>
    </row>
    <row r="49" spans="1:70" ht="25.8" thickBot="1" x14ac:dyDescent="0.65">
      <c r="A49" s="64">
        <v>41</v>
      </c>
      <c r="B49" s="166" t="s">
        <v>338</v>
      </c>
      <c r="C49" s="156" t="s">
        <v>19</v>
      </c>
      <c r="D49" s="170">
        <v>44378</v>
      </c>
      <c r="E49" s="168">
        <v>2</v>
      </c>
      <c r="F49" s="160">
        <f t="shared" si="69"/>
        <v>1066.6600000000001</v>
      </c>
      <c r="G49" s="160">
        <f t="shared" si="75"/>
        <v>298.8</v>
      </c>
      <c r="H49" s="161">
        <f t="shared" si="76"/>
        <v>1365.46</v>
      </c>
      <c r="I49" s="162">
        <v>14</v>
      </c>
      <c r="J49" s="88">
        <v>14</v>
      </c>
      <c r="L49" s="173">
        <v>46569</v>
      </c>
      <c r="M49" s="164"/>
      <c r="N49" s="165" t="str">
        <f t="shared" ca="1" si="70"/>
        <v>O.K.</v>
      </c>
      <c r="W49" s="1" t="s">
        <v>338</v>
      </c>
      <c r="X49" s="50">
        <v>0</v>
      </c>
      <c r="Y49" s="48">
        <v>0</v>
      </c>
      <c r="Z49" s="49">
        <v>0</v>
      </c>
      <c r="AA49" s="49">
        <v>0</v>
      </c>
      <c r="AB49" s="49">
        <v>0</v>
      </c>
      <c r="AC49" s="31">
        <v>0</v>
      </c>
      <c r="AD49" s="28">
        <f t="shared" si="38"/>
        <v>0</v>
      </c>
      <c r="AE49" s="52">
        <v>0</v>
      </c>
      <c r="AF49" s="52">
        <v>0</v>
      </c>
      <c r="AG49" s="49">
        <v>0</v>
      </c>
      <c r="AH49" s="22">
        <f t="shared" si="39"/>
        <v>0</v>
      </c>
      <c r="AI49" s="52">
        <f t="shared" si="47"/>
        <v>0</v>
      </c>
      <c r="AJ49" s="52">
        <f t="shared" si="47"/>
        <v>0</v>
      </c>
      <c r="AK49" s="49">
        <v>0</v>
      </c>
      <c r="AL49" s="31">
        <f t="shared" si="40"/>
        <v>0</v>
      </c>
      <c r="AM49" s="52">
        <f t="shared" si="48"/>
        <v>0</v>
      </c>
      <c r="AN49" s="52">
        <f t="shared" si="48"/>
        <v>0</v>
      </c>
      <c r="AO49" s="72">
        <v>0</v>
      </c>
      <c r="AP49" s="74">
        <f t="shared" si="41"/>
        <v>0</v>
      </c>
      <c r="AQ49" s="76">
        <f t="shared" si="49"/>
        <v>0</v>
      </c>
      <c r="AR49" s="76">
        <f t="shared" si="49"/>
        <v>0</v>
      </c>
      <c r="AS49" s="74">
        <v>0</v>
      </c>
      <c r="AT49" s="74">
        <f t="shared" si="42"/>
        <v>0</v>
      </c>
      <c r="AU49" s="73">
        <f>+(0)+(0)+(0)+(238.8)</f>
        <v>238.8</v>
      </c>
      <c r="AV49" s="73">
        <f>+(0)+(0)+(0)+(30)+(0)+(0)+(0)+(30)</f>
        <v>60</v>
      </c>
      <c r="AW49" s="74">
        <v>120</v>
      </c>
      <c r="AX49" s="74">
        <f t="shared" si="66"/>
        <v>178.8</v>
      </c>
      <c r="AY49" s="109">
        <f>+(0)+(0)+(0)+(0)</f>
        <v>0</v>
      </c>
      <c r="AZ49" s="109">
        <f>+(0)+(0)+(0)+(0)+(0)+(0)+(0)+(0)</f>
        <v>0</v>
      </c>
      <c r="BA49" s="61">
        <v>120</v>
      </c>
      <c r="BB49" s="61">
        <f t="shared" si="77"/>
        <v>58.800000000000011</v>
      </c>
      <c r="BD49" s="88">
        <v>0</v>
      </c>
      <c r="BE49" s="88">
        <v>0</v>
      </c>
      <c r="BF49" s="88">
        <v>0</v>
      </c>
      <c r="BG49" s="88">
        <v>0</v>
      </c>
      <c r="BH49" s="88">
        <v>0</v>
      </c>
      <c r="BI49" s="88">
        <v>0</v>
      </c>
      <c r="BJ49" s="88">
        <v>0</v>
      </c>
      <c r="BK49" s="88">
        <v>0</v>
      </c>
      <c r="BL49" s="88">
        <v>0</v>
      </c>
      <c r="BM49" s="88">
        <v>0</v>
      </c>
      <c r="BN49" s="88">
        <v>0</v>
      </c>
      <c r="BO49" s="88">
        <v>0</v>
      </c>
      <c r="BP49" s="210">
        <v>58.8</v>
      </c>
      <c r="BQ49" s="208">
        <f t="shared" si="6"/>
        <v>0</v>
      </c>
      <c r="BR49" s="175">
        <f t="shared" si="7"/>
        <v>298.8</v>
      </c>
    </row>
    <row r="50" spans="1:70" ht="25.8" thickBot="1" x14ac:dyDescent="0.65">
      <c r="A50" s="64">
        <v>42</v>
      </c>
      <c r="B50" s="90" t="s">
        <v>303</v>
      </c>
      <c r="C50" s="91" t="s">
        <v>23</v>
      </c>
      <c r="D50" s="90" t="s">
        <v>304</v>
      </c>
      <c r="E50" s="93">
        <v>15</v>
      </c>
      <c r="F50" s="93">
        <f>+E50*$C$1</f>
        <v>7999.9500000000007</v>
      </c>
      <c r="G50" s="93">
        <f t="shared" si="75"/>
        <v>2841.5</v>
      </c>
      <c r="H50" s="94">
        <f t="shared" si="76"/>
        <v>10841.45</v>
      </c>
      <c r="I50" s="95">
        <v>1</v>
      </c>
      <c r="J50" s="88">
        <v>1</v>
      </c>
      <c r="L50" s="100"/>
      <c r="M50" s="96"/>
      <c r="N50" s="97" t="s">
        <v>25</v>
      </c>
      <c r="W50" s="1" t="s">
        <v>303</v>
      </c>
      <c r="X50" s="51">
        <v>1803.5</v>
      </c>
      <c r="Y50" s="48">
        <v>96</v>
      </c>
      <c r="Z50" s="49">
        <v>120</v>
      </c>
      <c r="AA50" s="49">
        <v>120</v>
      </c>
      <c r="AB50" s="49">
        <v>78</v>
      </c>
      <c r="AC50" s="31">
        <v>78</v>
      </c>
      <c r="AD50" s="28">
        <f t="shared" si="38"/>
        <v>0</v>
      </c>
      <c r="AE50" s="52">
        <v>78</v>
      </c>
      <c r="AF50" s="52">
        <f>+(0)+(132)+(132)+(0)+(0)+(0)</f>
        <v>264</v>
      </c>
      <c r="AG50" s="49">
        <v>120</v>
      </c>
      <c r="AH50" s="22">
        <f t="shared" si="39"/>
        <v>222</v>
      </c>
      <c r="AI50" s="52">
        <f t="shared" si="47"/>
        <v>0</v>
      </c>
      <c r="AJ50" s="52">
        <f>+(0)+(0)+(228)+(0)+(0)+(0)</f>
        <v>228</v>
      </c>
      <c r="AK50" s="49">
        <v>120</v>
      </c>
      <c r="AL50" s="31">
        <f t="shared" si="40"/>
        <v>330</v>
      </c>
      <c r="AM50" s="52">
        <f t="shared" si="48"/>
        <v>0</v>
      </c>
      <c r="AN50" s="52">
        <f t="shared" si="48"/>
        <v>0</v>
      </c>
      <c r="AO50" s="72">
        <v>120</v>
      </c>
      <c r="AP50" s="74">
        <f t="shared" si="41"/>
        <v>210</v>
      </c>
      <c r="AQ50" s="76">
        <f>+(0)+(0)+(0)+(0)+(54)+(0)</f>
        <v>54</v>
      </c>
      <c r="AR50" s="76">
        <f t="shared" si="49"/>
        <v>0</v>
      </c>
      <c r="AS50" s="74">
        <v>120</v>
      </c>
      <c r="AT50" s="74">
        <f t="shared" si="42"/>
        <v>144</v>
      </c>
      <c r="AU50" s="73">
        <f t="shared" si="44"/>
        <v>0</v>
      </c>
      <c r="AV50" s="73">
        <f t="shared" si="30"/>
        <v>0</v>
      </c>
      <c r="AW50" s="73">
        <v>120</v>
      </c>
      <c r="AX50" s="73">
        <f t="shared" si="66"/>
        <v>24</v>
      </c>
      <c r="AY50" s="109">
        <f>+(0)+(0)+(0)+(0)</f>
        <v>0</v>
      </c>
      <c r="AZ50" s="109">
        <f>+(0)+(0)+(0)+(0)+(0)+(0)+(0)+(0)</f>
        <v>0</v>
      </c>
      <c r="BA50" s="61">
        <v>24</v>
      </c>
      <c r="BB50" s="61">
        <f t="shared" si="77"/>
        <v>0</v>
      </c>
      <c r="BD50" s="88">
        <v>0</v>
      </c>
      <c r="BE50" s="88">
        <v>0</v>
      </c>
      <c r="BF50" s="88">
        <v>0</v>
      </c>
      <c r="BG50" s="88">
        <v>0</v>
      </c>
      <c r="BH50" s="88">
        <v>0</v>
      </c>
      <c r="BI50" s="88">
        <v>0</v>
      </c>
      <c r="BJ50" s="88">
        <v>0</v>
      </c>
      <c r="BK50" s="88">
        <v>0</v>
      </c>
      <c r="BL50" s="88">
        <v>0</v>
      </c>
      <c r="BM50" s="88">
        <v>0</v>
      </c>
      <c r="BN50" s="88">
        <v>0</v>
      </c>
      <c r="BO50" s="88">
        <v>0</v>
      </c>
      <c r="BP50" s="210">
        <v>0</v>
      </c>
      <c r="BQ50" s="208">
        <f t="shared" si="6"/>
        <v>0</v>
      </c>
      <c r="BR50" s="175">
        <f t="shared" si="7"/>
        <v>2841.5</v>
      </c>
    </row>
    <row r="51" spans="1:70" ht="25.8" thickBot="1" x14ac:dyDescent="0.65">
      <c r="A51" s="64">
        <v>43</v>
      </c>
      <c r="B51" s="166" t="s">
        <v>45</v>
      </c>
      <c r="C51" s="156" t="s">
        <v>23</v>
      </c>
      <c r="D51" s="172" t="s">
        <v>127</v>
      </c>
      <c r="E51" s="168">
        <v>6</v>
      </c>
      <c r="F51" s="160">
        <f t="shared" si="69"/>
        <v>3199.9800000000005</v>
      </c>
      <c r="G51" s="160">
        <f t="shared" si="75"/>
        <v>1479.6</v>
      </c>
      <c r="H51" s="161">
        <f t="shared" si="76"/>
        <v>4679.58</v>
      </c>
      <c r="I51" s="162">
        <v>9</v>
      </c>
      <c r="J51" s="88">
        <v>9</v>
      </c>
      <c r="K51" s="212" t="s">
        <v>315</v>
      </c>
      <c r="L51" s="173">
        <v>46604</v>
      </c>
      <c r="M51" s="164"/>
      <c r="N51" s="165" t="str">
        <f t="shared" ref="N51:N64" ca="1" si="78">IF($B$2&lt;L51,"O.K.","A L E R T A ")</f>
        <v>O.K.</v>
      </c>
      <c r="W51" s="1" t="s">
        <v>45</v>
      </c>
      <c r="X51" s="50">
        <v>195</v>
      </c>
      <c r="Y51" s="48">
        <v>120</v>
      </c>
      <c r="Z51" s="49">
        <v>96</v>
      </c>
      <c r="AA51" s="49">
        <v>108.6</v>
      </c>
      <c r="AB51" s="49">
        <v>120</v>
      </c>
      <c r="AC51" s="31">
        <v>156</v>
      </c>
      <c r="AD51" s="28">
        <f t="shared" si="38"/>
        <v>36</v>
      </c>
      <c r="AE51" s="52">
        <v>78</v>
      </c>
      <c r="AF51" s="52">
        <f>+(0)+(78)+(0)+(0)+(54)+(54)</f>
        <v>186</v>
      </c>
      <c r="AG51" s="49">
        <v>120</v>
      </c>
      <c r="AH51" s="63">
        <f t="shared" si="39"/>
        <v>180</v>
      </c>
      <c r="AI51" s="52">
        <f t="shared" si="47"/>
        <v>0</v>
      </c>
      <c r="AJ51" s="52">
        <f>+(0)+(0)+(372)+(0)+(0)+(0)</f>
        <v>372</v>
      </c>
      <c r="AK51" s="49">
        <v>120</v>
      </c>
      <c r="AL51" s="31">
        <f t="shared" si="40"/>
        <v>432</v>
      </c>
      <c r="AM51" s="52">
        <f t="shared" si="48"/>
        <v>0</v>
      </c>
      <c r="AN51" s="52">
        <f t="shared" si="48"/>
        <v>0</v>
      </c>
      <c r="AO51" s="72">
        <v>120</v>
      </c>
      <c r="AP51" s="74">
        <f t="shared" si="41"/>
        <v>312</v>
      </c>
      <c r="AQ51" s="76">
        <f>+(38.4)+(0)+(0)+(0)+(54)+(0)</f>
        <v>92.4</v>
      </c>
      <c r="AR51" s="76">
        <f t="shared" si="49"/>
        <v>0</v>
      </c>
      <c r="AS51" s="74">
        <v>120</v>
      </c>
      <c r="AT51" s="74">
        <f t="shared" si="42"/>
        <v>284.39999999999998</v>
      </c>
      <c r="AU51" s="73">
        <f>+(54)+(0)+(0)+(30)</f>
        <v>84</v>
      </c>
      <c r="AV51" s="73">
        <f>+(0)+(0)+(96)+(0)+(0)+(0)+(0)+(0)</f>
        <v>96</v>
      </c>
      <c r="AW51" s="73">
        <v>120</v>
      </c>
      <c r="AX51" s="73">
        <f>+AT51+AU51+AV51-AW51</f>
        <v>344.4</v>
      </c>
      <c r="AY51" s="109">
        <f>+(0)+(0)+(0)+(54)</f>
        <v>54</v>
      </c>
      <c r="AZ51" s="109">
        <f>+(0)+(0)+(0)+(0)+(0)+(0)+(0)+(0)</f>
        <v>0</v>
      </c>
      <c r="BA51" s="61">
        <v>120</v>
      </c>
      <c r="BB51" s="61">
        <f t="shared" si="77"/>
        <v>278.39999999999998</v>
      </c>
      <c r="BD51" s="88">
        <v>0</v>
      </c>
      <c r="BE51" s="88">
        <v>0</v>
      </c>
      <c r="BF51" s="88">
        <v>0</v>
      </c>
      <c r="BG51" s="88">
        <v>0</v>
      </c>
      <c r="BH51" s="88">
        <v>0</v>
      </c>
      <c r="BI51" s="88">
        <v>0</v>
      </c>
      <c r="BJ51" s="88">
        <v>0</v>
      </c>
      <c r="BK51" s="88">
        <v>0</v>
      </c>
      <c r="BL51" s="88">
        <v>0</v>
      </c>
      <c r="BM51" s="88">
        <v>0</v>
      </c>
      <c r="BN51" s="88">
        <v>0</v>
      </c>
      <c r="BO51" s="88">
        <v>0</v>
      </c>
      <c r="BP51" s="210">
        <v>120</v>
      </c>
      <c r="BQ51" s="208">
        <f t="shared" si="6"/>
        <v>158.39999999999998</v>
      </c>
      <c r="BR51" s="175">
        <f t="shared" si="7"/>
        <v>1479.6</v>
      </c>
    </row>
    <row r="52" spans="1:70" ht="25.8" thickBot="1" x14ac:dyDescent="0.65">
      <c r="A52" s="64">
        <v>44</v>
      </c>
      <c r="B52" s="112" t="s">
        <v>370</v>
      </c>
      <c r="C52" s="113" t="s">
        <v>20</v>
      </c>
      <c r="D52" s="123">
        <v>44782</v>
      </c>
      <c r="E52" s="115">
        <v>1</v>
      </c>
      <c r="F52" s="116">
        <f t="shared" si="69"/>
        <v>533.33000000000004</v>
      </c>
      <c r="G52" s="116">
        <f t="shared" si="75"/>
        <v>726</v>
      </c>
      <c r="H52" s="117">
        <f t="shared" si="76"/>
        <v>1259.33</v>
      </c>
      <c r="I52" s="118">
        <v>14</v>
      </c>
      <c r="J52" s="88">
        <v>14</v>
      </c>
      <c r="L52" s="119">
        <v>46243</v>
      </c>
      <c r="M52" s="120"/>
      <c r="N52" s="121" t="str">
        <f t="shared" ca="1" si="78"/>
        <v>O.K.</v>
      </c>
      <c r="W52" s="1" t="s">
        <v>370</v>
      </c>
      <c r="X52" s="50">
        <v>0</v>
      </c>
      <c r="Y52" s="48">
        <v>0</v>
      </c>
      <c r="Z52" s="49">
        <v>0</v>
      </c>
      <c r="AA52" s="49">
        <v>0</v>
      </c>
      <c r="AB52" s="49">
        <v>0</v>
      </c>
      <c r="AC52" s="31">
        <v>0</v>
      </c>
      <c r="AD52" s="28">
        <f t="shared" si="38"/>
        <v>0</v>
      </c>
      <c r="AE52" s="52">
        <v>0</v>
      </c>
      <c r="AF52" s="52">
        <v>0</v>
      </c>
      <c r="AG52" s="49">
        <v>0</v>
      </c>
      <c r="AH52" s="63">
        <f t="shared" si="39"/>
        <v>0</v>
      </c>
      <c r="AI52" s="52">
        <v>0</v>
      </c>
      <c r="AJ52" s="52">
        <v>0</v>
      </c>
      <c r="AK52" s="49">
        <v>0</v>
      </c>
      <c r="AL52" s="31">
        <f t="shared" si="40"/>
        <v>0</v>
      </c>
      <c r="AM52" s="52">
        <f t="shared" si="48"/>
        <v>0</v>
      </c>
      <c r="AN52" s="52">
        <f>+(0)+(0)+(0)+(0)+(0)+(126)</f>
        <v>126</v>
      </c>
      <c r="AO52" s="72">
        <v>126</v>
      </c>
      <c r="AP52" s="74">
        <f t="shared" si="41"/>
        <v>0</v>
      </c>
      <c r="AQ52" s="76">
        <f>+(108)+(0)+(0)+(198)+(54)+(0)</f>
        <v>360</v>
      </c>
      <c r="AR52" s="76">
        <f t="shared" si="49"/>
        <v>0</v>
      </c>
      <c r="AS52" s="74">
        <v>150</v>
      </c>
      <c r="AT52" s="74">
        <f t="shared" si="42"/>
        <v>210</v>
      </c>
      <c r="AU52" s="73">
        <f>+(0)+(0)+(0)+(450)</f>
        <v>450</v>
      </c>
      <c r="AV52" s="73">
        <f>+(0)+(0)+(96)+(0)+(0)+(282)+(120)+(150.6)</f>
        <v>648.6</v>
      </c>
      <c r="AW52" s="74">
        <v>150</v>
      </c>
      <c r="AX52" s="74">
        <f t="shared" ref="AX52:AX66" si="79">+AT52+AU52+AV52-AW52</f>
        <v>1158.5999999999999</v>
      </c>
      <c r="AY52" s="109">
        <f>+(0)+(0)+(0)+(186)</f>
        <v>186</v>
      </c>
      <c r="AZ52" s="109">
        <f>+(78)+(228)+(96)+(0)+(120)+(84)+(84)+(0)</f>
        <v>690</v>
      </c>
      <c r="BA52" s="61">
        <v>150</v>
      </c>
      <c r="BB52" s="61">
        <f t="shared" si="77"/>
        <v>1884.6</v>
      </c>
      <c r="BD52" s="88">
        <v>0</v>
      </c>
      <c r="BE52" s="88">
        <v>0</v>
      </c>
      <c r="BF52" s="88">
        <v>0</v>
      </c>
      <c r="BG52" s="88">
        <v>0</v>
      </c>
      <c r="BH52" s="88">
        <v>0</v>
      </c>
      <c r="BI52" s="88">
        <v>0</v>
      </c>
      <c r="BJ52" s="88">
        <v>0</v>
      </c>
      <c r="BK52" s="88">
        <v>0</v>
      </c>
      <c r="BL52" s="88">
        <v>0</v>
      </c>
      <c r="BM52" s="88">
        <v>0</v>
      </c>
      <c r="BN52" s="88">
        <v>0</v>
      </c>
      <c r="BO52" s="88">
        <v>0</v>
      </c>
      <c r="BP52" s="210">
        <v>150</v>
      </c>
      <c r="BQ52" s="208">
        <f t="shared" si="6"/>
        <v>1734.6</v>
      </c>
      <c r="BR52" s="175">
        <f t="shared" si="7"/>
        <v>726</v>
      </c>
    </row>
    <row r="53" spans="1:70" ht="25.8" thickBot="1" x14ac:dyDescent="0.65">
      <c r="A53" s="64">
        <v>45</v>
      </c>
      <c r="B53" s="112" t="s">
        <v>224</v>
      </c>
      <c r="C53" s="113" t="s">
        <v>19</v>
      </c>
      <c r="D53" s="114">
        <v>42499</v>
      </c>
      <c r="E53" s="115">
        <v>4</v>
      </c>
      <c r="F53" s="116">
        <f t="shared" si="69"/>
        <v>2133.3200000000002</v>
      </c>
      <c r="G53" s="116">
        <f t="shared" si="75"/>
        <v>270</v>
      </c>
      <c r="H53" s="117">
        <f t="shared" si="76"/>
        <v>2403.3200000000002</v>
      </c>
      <c r="I53" s="118">
        <v>12</v>
      </c>
      <c r="J53" s="88">
        <v>12</v>
      </c>
      <c r="L53" s="122">
        <v>46273</v>
      </c>
      <c r="M53" s="120"/>
      <c r="N53" s="121" t="str">
        <f t="shared" ca="1" si="78"/>
        <v>O.K.</v>
      </c>
      <c r="W53" s="1" t="s">
        <v>224</v>
      </c>
      <c r="X53" s="50">
        <v>0</v>
      </c>
      <c r="Y53" s="48">
        <v>0</v>
      </c>
      <c r="Z53" s="49">
        <v>96</v>
      </c>
      <c r="AA53" s="49">
        <v>96</v>
      </c>
      <c r="AB53" s="49">
        <v>0</v>
      </c>
      <c r="AC53" s="31">
        <v>0</v>
      </c>
      <c r="AD53" s="28">
        <f t="shared" si="38"/>
        <v>0</v>
      </c>
      <c r="AE53" s="52">
        <v>0</v>
      </c>
      <c r="AF53" s="52">
        <f t="shared" ref="AF53:AF285" si="80">+(0)+(0)+(0)+(0)+(0)+(0)</f>
        <v>0</v>
      </c>
      <c r="AG53" s="49">
        <v>0</v>
      </c>
      <c r="AH53" s="22">
        <f t="shared" si="39"/>
        <v>0</v>
      </c>
      <c r="AI53" s="52">
        <f t="shared" si="47"/>
        <v>0</v>
      </c>
      <c r="AJ53" s="52">
        <f t="shared" si="47"/>
        <v>0</v>
      </c>
      <c r="AK53" s="49">
        <v>0</v>
      </c>
      <c r="AL53" s="31">
        <f t="shared" si="40"/>
        <v>0</v>
      </c>
      <c r="AM53" s="52">
        <f t="shared" si="48"/>
        <v>0</v>
      </c>
      <c r="AN53" s="52">
        <f t="shared" si="48"/>
        <v>0</v>
      </c>
      <c r="AO53" s="72">
        <v>0</v>
      </c>
      <c r="AP53" s="74">
        <f t="shared" si="41"/>
        <v>0</v>
      </c>
      <c r="AQ53" s="76">
        <f t="shared" si="49"/>
        <v>0</v>
      </c>
      <c r="AR53" s="76">
        <f t="shared" si="49"/>
        <v>0</v>
      </c>
      <c r="AS53" s="74">
        <v>0</v>
      </c>
      <c r="AT53" s="74">
        <f t="shared" si="42"/>
        <v>0</v>
      </c>
      <c r="AU53" s="73">
        <f>+(0)+(0)+(0)+(78)</f>
        <v>78</v>
      </c>
      <c r="AV53" s="73">
        <f t="shared" si="30"/>
        <v>0</v>
      </c>
      <c r="AW53" s="73">
        <v>78</v>
      </c>
      <c r="AX53" s="73">
        <f t="shared" si="79"/>
        <v>0</v>
      </c>
      <c r="AY53" s="109">
        <f>+(0)+(0)+(0)+(0)</f>
        <v>0</v>
      </c>
      <c r="AZ53" s="109">
        <f>+(0)+(0)+(0)+(0)+(0)+(0)+(0)+(0)</f>
        <v>0</v>
      </c>
      <c r="BA53" s="61">
        <v>0</v>
      </c>
      <c r="BB53" s="61">
        <f t="shared" si="77"/>
        <v>0</v>
      </c>
      <c r="BD53" s="88">
        <v>0</v>
      </c>
      <c r="BE53" s="88">
        <v>0</v>
      </c>
      <c r="BF53" s="88">
        <v>0</v>
      </c>
      <c r="BG53" s="88">
        <v>0</v>
      </c>
      <c r="BH53" s="88">
        <v>0</v>
      </c>
      <c r="BI53" s="88">
        <v>0</v>
      </c>
      <c r="BJ53" s="88">
        <v>0</v>
      </c>
      <c r="BK53" s="88">
        <v>0</v>
      </c>
      <c r="BL53" s="88">
        <v>0</v>
      </c>
      <c r="BM53" s="88">
        <v>0</v>
      </c>
      <c r="BN53" s="88">
        <v>0</v>
      </c>
      <c r="BO53" s="88">
        <v>0</v>
      </c>
      <c r="BP53" s="210">
        <v>0</v>
      </c>
      <c r="BQ53" s="208">
        <f t="shared" si="6"/>
        <v>0</v>
      </c>
      <c r="BR53" s="175">
        <f t="shared" si="7"/>
        <v>270</v>
      </c>
    </row>
    <row r="54" spans="1:70" ht="25.8" thickBot="1" x14ac:dyDescent="0.65">
      <c r="A54" s="64">
        <v>46</v>
      </c>
      <c r="B54" s="112" t="s">
        <v>367</v>
      </c>
      <c r="C54" s="113" t="s">
        <v>23</v>
      </c>
      <c r="D54" s="112" t="s">
        <v>156</v>
      </c>
      <c r="E54" s="115">
        <v>8</v>
      </c>
      <c r="F54" s="116">
        <f>+E54*$C$1</f>
        <v>4266.6400000000003</v>
      </c>
      <c r="G54" s="116">
        <f t="shared" si="75"/>
        <v>1495.1999999999998</v>
      </c>
      <c r="H54" s="117">
        <f t="shared" si="76"/>
        <v>5761.84</v>
      </c>
      <c r="I54" s="118">
        <v>8</v>
      </c>
      <c r="J54" s="88">
        <v>8</v>
      </c>
      <c r="L54" s="122">
        <v>46191</v>
      </c>
      <c r="M54" s="120"/>
      <c r="N54" s="121" t="str">
        <f t="shared" ca="1" si="78"/>
        <v>O.K.</v>
      </c>
      <c r="W54" s="1" t="s">
        <v>367</v>
      </c>
      <c r="X54" s="50">
        <v>570</v>
      </c>
      <c r="Y54" s="48">
        <v>96</v>
      </c>
      <c r="Z54" s="49">
        <v>96</v>
      </c>
      <c r="AA54" s="49">
        <v>120</v>
      </c>
      <c r="AB54" s="49">
        <v>78</v>
      </c>
      <c r="AC54" s="31">
        <v>78</v>
      </c>
      <c r="AD54" s="28">
        <f t="shared" si="38"/>
        <v>0</v>
      </c>
      <c r="AE54" s="52">
        <v>54.6</v>
      </c>
      <c r="AF54" s="52">
        <f>+(0)+(0)+(0)+(0)+(0)+(162)</f>
        <v>162</v>
      </c>
      <c r="AG54" s="49">
        <v>120</v>
      </c>
      <c r="AH54" s="22">
        <f t="shared" si="39"/>
        <v>96.6</v>
      </c>
      <c r="AI54" s="52">
        <f t="shared" ref="AI54:AJ368" si="81">+(0)+(0)+(0)+(0)+(0)+(0)</f>
        <v>0</v>
      </c>
      <c r="AJ54" s="52">
        <f t="shared" si="81"/>
        <v>0</v>
      </c>
      <c r="AK54" s="49">
        <v>96.6</v>
      </c>
      <c r="AL54" s="31">
        <f t="shared" si="40"/>
        <v>0</v>
      </c>
      <c r="AM54" s="52">
        <f>+(0)+(0)+(0)+(0)+(0)+(78)</f>
        <v>78</v>
      </c>
      <c r="AN54" s="52">
        <f t="shared" ref="AM54:AN375" si="82">+(0)+(0)+(0)+(0)+(0)+(0)</f>
        <v>0</v>
      </c>
      <c r="AO54" s="72">
        <v>78</v>
      </c>
      <c r="AP54" s="74">
        <f t="shared" si="41"/>
        <v>0</v>
      </c>
      <c r="AQ54" s="76">
        <f t="shared" ref="AQ54:AR406" si="83">+(0)+(0)+(0)+(0)+(0)+(0)</f>
        <v>0</v>
      </c>
      <c r="AR54" s="76">
        <f t="shared" si="83"/>
        <v>0</v>
      </c>
      <c r="AS54" s="74">
        <v>0</v>
      </c>
      <c r="AT54" s="74">
        <f t="shared" si="42"/>
        <v>0</v>
      </c>
      <c r="AU54" s="73">
        <f>+(0)+(108)+(0)+(54.6)</f>
        <v>162.6</v>
      </c>
      <c r="AV54" s="73">
        <f t="shared" si="30"/>
        <v>0</v>
      </c>
      <c r="AW54" s="73">
        <v>120</v>
      </c>
      <c r="AX54" s="73">
        <f t="shared" si="79"/>
        <v>42.599999999999994</v>
      </c>
      <c r="AY54" s="109">
        <f>+(0)+(0)+(0)+(0)</f>
        <v>0</v>
      </c>
      <c r="AZ54" s="109">
        <f>+(0)+(0)+(0)+(0)+(0)+(0)+(0)+(78)</f>
        <v>78</v>
      </c>
      <c r="BA54" s="61">
        <v>120</v>
      </c>
      <c r="BB54" s="61">
        <f t="shared" si="77"/>
        <v>0.59999999999999432</v>
      </c>
      <c r="BD54" s="88">
        <v>0</v>
      </c>
      <c r="BE54" s="88">
        <v>0</v>
      </c>
      <c r="BF54" s="88">
        <v>0</v>
      </c>
      <c r="BG54" s="88">
        <v>0</v>
      </c>
      <c r="BH54" s="88">
        <v>0</v>
      </c>
      <c r="BI54" s="88">
        <v>0</v>
      </c>
      <c r="BJ54" s="88">
        <v>0</v>
      </c>
      <c r="BK54" s="88">
        <v>0</v>
      </c>
      <c r="BL54" s="88">
        <v>0</v>
      </c>
      <c r="BM54" s="88">
        <v>0</v>
      </c>
      <c r="BN54" s="88">
        <v>0</v>
      </c>
      <c r="BO54" s="88">
        <v>0</v>
      </c>
      <c r="BP54" s="210">
        <v>0.6</v>
      </c>
      <c r="BQ54" s="208">
        <f t="shared" si="6"/>
        <v>-5.6621374255882984E-15</v>
      </c>
      <c r="BR54" s="175">
        <f t="shared" si="7"/>
        <v>1495.1999999999998</v>
      </c>
    </row>
    <row r="55" spans="1:70" ht="25.8" thickBot="1" x14ac:dyDescent="0.65">
      <c r="A55" s="64">
        <v>47</v>
      </c>
      <c r="B55" s="112" t="s">
        <v>423</v>
      </c>
      <c r="C55" s="113" t="s">
        <v>20</v>
      </c>
      <c r="D55" s="114">
        <v>45292</v>
      </c>
      <c r="E55" s="115">
        <v>2</v>
      </c>
      <c r="F55" s="116">
        <f>+E55*$C$1</f>
        <v>1066.6600000000001</v>
      </c>
      <c r="G55" s="116">
        <f t="shared" si="75"/>
        <v>2120</v>
      </c>
      <c r="H55" s="117">
        <f t="shared" si="76"/>
        <v>3186.66</v>
      </c>
      <c r="I55" s="118">
        <v>12</v>
      </c>
      <c r="J55" s="88">
        <v>12</v>
      </c>
      <c r="L55" s="122">
        <v>46024</v>
      </c>
      <c r="M55" s="120"/>
      <c r="N55" s="121" t="str">
        <f t="shared" ca="1" si="78"/>
        <v>O.K.</v>
      </c>
      <c r="W55" s="1" t="s">
        <v>423</v>
      </c>
      <c r="X55" s="68">
        <v>1670</v>
      </c>
      <c r="Y55" s="48">
        <v>0</v>
      </c>
      <c r="Z55" s="49">
        <v>0</v>
      </c>
      <c r="AA55" s="49">
        <v>0</v>
      </c>
      <c r="AB55" s="49">
        <v>0</v>
      </c>
      <c r="AC55" s="31">
        <v>0</v>
      </c>
      <c r="AD55" s="28">
        <f t="shared" si="38"/>
        <v>0</v>
      </c>
      <c r="AE55" s="52">
        <v>0</v>
      </c>
      <c r="AF55" s="52">
        <v>0</v>
      </c>
      <c r="AG55" s="49">
        <v>0</v>
      </c>
      <c r="AH55" s="22">
        <f t="shared" si="39"/>
        <v>0</v>
      </c>
      <c r="AI55" s="52">
        <v>0</v>
      </c>
      <c r="AJ55" s="52">
        <v>0</v>
      </c>
      <c r="AK55" s="49">
        <v>0</v>
      </c>
      <c r="AL55" s="31">
        <f t="shared" si="40"/>
        <v>0</v>
      </c>
      <c r="AM55" s="52">
        <v>0</v>
      </c>
      <c r="AN55" s="52">
        <v>0</v>
      </c>
      <c r="AO55" s="72">
        <v>0</v>
      </c>
      <c r="AP55" s="74">
        <f t="shared" si="41"/>
        <v>0</v>
      </c>
      <c r="AQ55" s="76">
        <v>0</v>
      </c>
      <c r="AR55" s="76">
        <v>0</v>
      </c>
      <c r="AS55" s="74">
        <v>0</v>
      </c>
      <c r="AT55" s="74">
        <f t="shared" si="42"/>
        <v>0</v>
      </c>
      <c r="AU55" s="73">
        <f t="shared" si="44"/>
        <v>0</v>
      </c>
      <c r="AV55" s="73">
        <f>+(0)+(0)+(96)+(0)+(37.8)+(30)+(0)+(78)</f>
        <v>241.8</v>
      </c>
      <c r="AW55" s="74">
        <v>150</v>
      </c>
      <c r="AX55" s="74">
        <f t="shared" si="79"/>
        <v>91.800000000000011</v>
      </c>
      <c r="AY55" s="109">
        <f>+(0)+(0)+(0)+(78)</f>
        <v>78</v>
      </c>
      <c r="AZ55" s="109">
        <f>+(0)+(78)+(0)+(0)+(0)+(0)+(0)+(0)</f>
        <v>78</v>
      </c>
      <c r="BA55" s="61">
        <v>150</v>
      </c>
      <c r="BB55" s="61">
        <f t="shared" si="77"/>
        <v>97.800000000000011</v>
      </c>
      <c r="BD55" s="88">
        <v>0</v>
      </c>
      <c r="BE55" s="153">
        <v>78</v>
      </c>
      <c r="BF55" s="88">
        <v>0</v>
      </c>
      <c r="BG55" s="88">
        <v>0</v>
      </c>
      <c r="BH55" s="88">
        <v>0</v>
      </c>
      <c r="BI55" s="88">
        <v>0</v>
      </c>
      <c r="BJ55" s="88">
        <v>0</v>
      </c>
      <c r="BK55" s="88">
        <v>0</v>
      </c>
      <c r="BL55" s="88">
        <v>0</v>
      </c>
      <c r="BM55" s="88">
        <v>0</v>
      </c>
      <c r="BN55" s="88">
        <v>0</v>
      </c>
      <c r="BO55" s="88">
        <v>0</v>
      </c>
      <c r="BP55" s="210">
        <v>150</v>
      </c>
      <c r="BQ55" s="208">
        <f t="shared" si="6"/>
        <v>25.800000000000011</v>
      </c>
      <c r="BR55" s="175">
        <f t="shared" si="7"/>
        <v>2120</v>
      </c>
    </row>
    <row r="56" spans="1:70" ht="25.8" thickBot="1" x14ac:dyDescent="0.65">
      <c r="A56" s="64">
        <v>48</v>
      </c>
      <c r="B56" s="112" t="s">
        <v>47</v>
      </c>
      <c r="C56" s="113" t="s">
        <v>20</v>
      </c>
      <c r="D56" s="112" t="s">
        <v>129</v>
      </c>
      <c r="E56" s="115">
        <v>8</v>
      </c>
      <c r="F56" s="116">
        <f t="shared" si="69"/>
        <v>4266.6400000000003</v>
      </c>
      <c r="G56" s="116">
        <f t="shared" si="75"/>
        <v>2651.5</v>
      </c>
      <c r="H56" s="117">
        <f t="shared" ref="H56:H101" si="84">+F56+G56</f>
        <v>6918.14</v>
      </c>
      <c r="I56" s="118">
        <v>7</v>
      </c>
      <c r="J56" s="88">
        <v>7</v>
      </c>
      <c r="L56" s="122">
        <v>46257</v>
      </c>
      <c r="M56" s="120"/>
      <c r="N56" s="121" t="str">
        <f t="shared" ca="1" si="78"/>
        <v>O.K.</v>
      </c>
      <c r="W56" s="1" t="s">
        <v>47</v>
      </c>
      <c r="X56" s="50">
        <v>1055.5</v>
      </c>
      <c r="Y56" s="48">
        <v>150</v>
      </c>
      <c r="Z56" s="49">
        <v>96</v>
      </c>
      <c r="AA56" s="49">
        <v>150</v>
      </c>
      <c r="AB56" s="49">
        <v>150</v>
      </c>
      <c r="AC56" s="31">
        <v>234</v>
      </c>
      <c r="AD56" s="28">
        <f t="shared" si="38"/>
        <v>84</v>
      </c>
      <c r="AE56" s="52">
        <v>54</v>
      </c>
      <c r="AF56" s="52">
        <f>+(0)+(78)+(0)+(0)+(54)+(54)</f>
        <v>186</v>
      </c>
      <c r="AG56" s="49">
        <v>150</v>
      </c>
      <c r="AH56" s="22">
        <f t="shared" si="39"/>
        <v>174</v>
      </c>
      <c r="AI56" s="52">
        <f t="shared" si="47"/>
        <v>0</v>
      </c>
      <c r="AJ56" s="52">
        <f>+(0)+(0)+(162)+(0)+(96)+(96)</f>
        <v>354</v>
      </c>
      <c r="AK56" s="49">
        <v>150</v>
      </c>
      <c r="AL56" s="31">
        <f t="shared" si="40"/>
        <v>378</v>
      </c>
      <c r="AM56" s="52">
        <f t="shared" si="48"/>
        <v>0</v>
      </c>
      <c r="AN56" s="52">
        <f>+(78)+(0)+(0)+(0)+(0)+(96)</f>
        <v>174</v>
      </c>
      <c r="AO56" s="72">
        <v>150</v>
      </c>
      <c r="AP56" s="74">
        <f t="shared" si="41"/>
        <v>402</v>
      </c>
      <c r="AQ56" s="76">
        <f>+(0)+(0)+(0)+(0)+(54)+(0)</f>
        <v>54</v>
      </c>
      <c r="AR56" s="76">
        <f t="shared" si="49"/>
        <v>0</v>
      </c>
      <c r="AS56" s="74">
        <v>150</v>
      </c>
      <c r="AT56" s="74">
        <f t="shared" si="42"/>
        <v>306</v>
      </c>
      <c r="AU56" s="73">
        <f>+(0)+(0)+(0)+(174)</f>
        <v>174</v>
      </c>
      <c r="AV56" s="73">
        <f>+(0)+(0)+(0)+(0)+(0)+(0)+(0)+(138)</f>
        <v>138</v>
      </c>
      <c r="AW56" s="74">
        <v>150</v>
      </c>
      <c r="AX56" s="74">
        <f t="shared" si="79"/>
        <v>468</v>
      </c>
      <c r="AY56" s="109">
        <f>+(0)+(0)+(0)+(156)</f>
        <v>156</v>
      </c>
      <c r="AZ56" s="109">
        <f>+(30)+(0)+(78)+(0)+(0)+(0)+(0)+(78)</f>
        <v>186</v>
      </c>
      <c r="BA56" s="61">
        <v>150</v>
      </c>
      <c r="BB56" s="61">
        <f t="shared" si="77"/>
        <v>660</v>
      </c>
      <c r="BD56" s="153">
        <v>78</v>
      </c>
      <c r="BE56" s="88">
        <v>0</v>
      </c>
      <c r="BF56" s="88">
        <v>0</v>
      </c>
      <c r="BG56" s="88">
        <v>0</v>
      </c>
      <c r="BH56" s="88">
        <v>0</v>
      </c>
      <c r="BI56" s="88">
        <v>0</v>
      </c>
      <c r="BJ56" s="88">
        <v>0</v>
      </c>
      <c r="BK56" s="88">
        <v>0</v>
      </c>
      <c r="BL56" s="88">
        <v>0</v>
      </c>
      <c r="BM56" s="88">
        <v>0</v>
      </c>
      <c r="BN56" s="88">
        <v>0</v>
      </c>
      <c r="BO56" s="88">
        <v>0</v>
      </c>
      <c r="BP56" s="210">
        <v>150</v>
      </c>
      <c r="BQ56" s="208">
        <f t="shared" si="6"/>
        <v>588</v>
      </c>
      <c r="BR56" s="175">
        <f t="shared" si="7"/>
        <v>2651.5</v>
      </c>
    </row>
    <row r="57" spans="1:70" ht="25.8" thickBot="1" x14ac:dyDescent="0.65">
      <c r="A57" s="64">
        <v>49</v>
      </c>
      <c r="B57" s="112" t="s">
        <v>460</v>
      </c>
      <c r="C57" s="113" t="s">
        <v>21</v>
      </c>
      <c r="D57" s="114">
        <v>45629</v>
      </c>
      <c r="E57" s="115">
        <v>0</v>
      </c>
      <c r="F57" s="116">
        <f t="shared" si="69"/>
        <v>0</v>
      </c>
      <c r="G57" s="116">
        <f t="shared" ref="G57" si="85">+BR57</f>
        <v>99</v>
      </c>
      <c r="H57" s="117">
        <f t="shared" ref="H57" si="86">+F57+G57</f>
        <v>99</v>
      </c>
      <c r="I57" s="118">
        <v>15</v>
      </c>
      <c r="J57" s="88">
        <v>15</v>
      </c>
      <c r="L57" s="122">
        <v>46359</v>
      </c>
      <c r="M57" s="120"/>
      <c r="N57" s="121" t="str">
        <f t="shared" ca="1" si="78"/>
        <v>O.K.</v>
      </c>
      <c r="W57" s="1" t="s">
        <v>460</v>
      </c>
      <c r="X57" s="50"/>
      <c r="Y57" s="48"/>
      <c r="Z57" s="49"/>
      <c r="AA57" s="49"/>
      <c r="AB57" s="49"/>
      <c r="AC57" s="31"/>
      <c r="AD57" s="28"/>
      <c r="AE57" s="52"/>
      <c r="AF57" s="52"/>
      <c r="AG57" s="49"/>
      <c r="AH57" s="22"/>
      <c r="AI57" s="52"/>
      <c r="AJ57" s="52"/>
      <c r="AK57" s="49"/>
      <c r="AL57" s="31"/>
      <c r="AM57" s="52"/>
      <c r="AN57" s="52"/>
      <c r="AO57" s="72"/>
      <c r="AP57" s="74"/>
      <c r="AQ57" s="76"/>
      <c r="AR57" s="76"/>
      <c r="AS57" s="74"/>
      <c r="AT57" s="74"/>
      <c r="AU57" s="73"/>
      <c r="AV57" s="73"/>
      <c r="AW57" s="74"/>
      <c r="AX57" s="74"/>
      <c r="AY57" s="109">
        <f>+(0)+(0)+(0)+(0)</f>
        <v>0</v>
      </c>
      <c r="AZ57" s="109">
        <f>+(0)+(0)+(78)+(0)+(0)+(0)+(0)+(0)</f>
        <v>78</v>
      </c>
      <c r="BA57" s="61">
        <v>78</v>
      </c>
      <c r="BB57" s="61">
        <f t="shared" ref="BB57:BB58" si="87">(AX57+AY57+AZ57)-BA57</f>
        <v>0</v>
      </c>
      <c r="BD57" s="153">
        <v>21</v>
      </c>
      <c r="BE57" s="88">
        <v>0</v>
      </c>
      <c r="BF57" s="88">
        <v>0</v>
      </c>
      <c r="BG57" s="88">
        <v>0</v>
      </c>
      <c r="BH57" s="88">
        <v>0</v>
      </c>
      <c r="BI57" s="88">
        <v>0</v>
      </c>
      <c r="BJ57" s="88">
        <v>0</v>
      </c>
      <c r="BK57" s="88">
        <v>0</v>
      </c>
      <c r="BL57" s="88">
        <v>0</v>
      </c>
      <c r="BM57" s="88">
        <v>0</v>
      </c>
      <c r="BN57" s="88">
        <v>0</v>
      </c>
      <c r="BO57" s="88">
        <v>0</v>
      </c>
      <c r="BP57" s="210">
        <v>21</v>
      </c>
      <c r="BQ57" s="208">
        <f t="shared" si="6"/>
        <v>0</v>
      </c>
      <c r="BR57" s="175">
        <f t="shared" si="7"/>
        <v>99</v>
      </c>
    </row>
    <row r="58" spans="1:70" ht="25.8" thickBot="1" x14ac:dyDescent="0.65">
      <c r="A58" s="64">
        <v>50</v>
      </c>
      <c r="B58" s="166" t="s">
        <v>482</v>
      </c>
      <c r="C58" s="156" t="s">
        <v>21</v>
      </c>
      <c r="D58" s="167">
        <v>45733</v>
      </c>
      <c r="E58" s="168">
        <v>2</v>
      </c>
      <c r="F58" s="160">
        <f t="shared" si="69"/>
        <v>1066.6600000000001</v>
      </c>
      <c r="G58" s="160">
        <f t="shared" ref="G58" si="88">+BR58</f>
        <v>879</v>
      </c>
      <c r="H58" s="161">
        <f t="shared" ref="H58" si="89">+F58+G58</f>
        <v>1945.66</v>
      </c>
      <c r="I58" s="162">
        <v>13</v>
      </c>
      <c r="J58" s="88">
        <v>13</v>
      </c>
      <c r="L58" s="169">
        <v>46444</v>
      </c>
      <c r="M58" s="164"/>
      <c r="N58" s="165" t="str">
        <f t="shared" ca="1" si="78"/>
        <v>O.K.</v>
      </c>
      <c r="W58" s="1" t="s">
        <v>482</v>
      </c>
      <c r="X58" s="68">
        <v>579</v>
      </c>
      <c r="Y58" s="48"/>
      <c r="Z58" s="49"/>
      <c r="AA58" s="49"/>
      <c r="AB58" s="49"/>
      <c r="AC58" s="31"/>
      <c r="AD58" s="28"/>
      <c r="AE58" s="52"/>
      <c r="AF58" s="52"/>
      <c r="AG58" s="49"/>
      <c r="AH58" s="22"/>
      <c r="AI58" s="52"/>
      <c r="AJ58" s="52"/>
      <c r="AK58" s="49"/>
      <c r="AL58" s="31"/>
      <c r="AM58" s="52"/>
      <c r="AN58" s="52"/>
      <c r="AO58" s="72"/>
      <c r="AP58" s="74"/>
      <c r="AQ58" s="76"/>
      <c r="AR58" s="76"/>
      <c r="AS58" s="74"/>
      <c r="AT58" s="74"/>
      <c r="AU58" s="73"/>
      <c r="AV58" s="73"/>
      <c r="AW58" s="74"/>
      <c r="AX58" s="74"/>
      <c r="AY58" s="109">
        <f>+(0)+(0)+(0)+(0)</f>
        <v>0</v>
      </c>
      <c r="AZ58" s="109">
        <f>+(0)+(0)+(0)+(0)+(0)+(78)+(156)+(108)</f>
        <v>342</v>
      </c>
      <c r="BA58" s="61">
        <v>150</v>
      </c>
      <c r="BB58" s="61">
        <f t="shared" si="87"/>
        <v>192</v>
      </c>
      <c r="BD58" s="88">
        <v>0</v>
      </c>
      <c r="BE58" s="88">
        <v>0</v>
      </c>
      <c r="BF58" s="88">
        <v>0</v>
      </c>
      <c r="BG58" s="88">
        <v>0</v>
      </c>
      <c r="BH58" s="88">
        <v>0</v>
      </c>
      <c r="BI58" s="88">
        <v>0</v>
      </c>
      <c r="BJ58" s="88">
        <v>0</v>
      </c>
      <c r="BK58" s="88">
        <v>0</v>
      </c>
      <c r="BL58" s="88">
        <v>0</v>
      </c>
      <c r="BM58" s="88">
        <v>0</v>
      </c>
      <c r="BN58" s="88">
        <v>0</v>
      </c>
      <c r="BO58" s="88">
        <v>0</v>
      </c>
      <c r="BP58" s="210">
        <v>150</v>
      </c>
      <c r="BQ58" s="208">
        <f t="shared" si="6"/>
        <v>42</v>
      </c>
      <c r="BR58" s="175">
        <f t="shared" si="7"/>
        <v>879</v>
      </c>
    </row>
    <row r="59" spans="1:70" ht="25.8" thickBot="1" x14ac:dyDescent="0.65">
      <c r="A59" s="64">
        <v>51</v>
      </c>
      <c r="B59" s="166" t="s">
        <v>295</v>
      </c>
      <c r="C59" s="156" t="s">
        <v>20</v>
      </c>
      <c r="D59" s="167">
        <v>43709</v>
      </c>
      <c r="E59" s="168">
        <v>3</v>
      </c>
      <c r="F59" s="160">
        <f t="shared" si="69"/>
        <v>1599.9900000000002</v>
      </c>
      <c r="G59" s="198">
        <f>+BR59</f>
        <v>1050</v>
      </c>
      <c r="H59" s="161">
        <f t="shared" si="84"/>
        <v>2649.9900000000002</v>
      </c>
      <c r="I59" s="162">
        <v>12</v>
      </c>
      <c r="J59" s="88">
        <v>12</v>
      </c>
      <c r="K59" s="212" t="s">
        <v>315</v>
      </c>
      <c r="L59" s="169">
        <v>46631</v>
      </c>
      <c r="M59" s="164"/>
      <c r="N59" s="165" t="str">
        <f t="shared" ca="1" si="78"/>
        <v>O.K.</v>
      </c>
      <c r="W59" s="1" t="s">
        <v>295</v>
      </c>
      <c r="X59" s="50">
        <v>0</v>
      </c>
      <c r="Y59" s="48">
        <v>0</v>
      </c>
      <c r="Z59" s="49">
        <v>0</v>
      </c>
      <c r="AA59" s="49">
        <v>0</v>
      </c>
      <c r="AB59" s="49">
        <v>0</v>
      </c>
      <c r="AC59" s="31">
        <v>0</v>
      </c>
      <c r="AD59" s="28">
        <f>+AC59-AB59</f>
        <v>0</v>
      </c>
      <c r="AE59" s="52">
        <f>324+92.4</f>
        <v>416.4</v>
      </c>
      <c r="AF59" s="52">
        <f>+(0)+(105.6)+(0)+(0)+(54)+(175.8)</f>
        <v>335.4</v>
      </c>
      <c r="AG59" s="49">
        <v>150</v>
      </c>
      <c r="AH59" s="22">
        <f>+AD59+(AE59+AF59)-AG59</f>
        <v>601.79999999999995</v>
      </c>
      <c r="AI59" s="52">
        <f>+(0)+(0)+(0)+(0)+(67.2)+(0)</f>
        <v>67.2</v>
      </c>
      <c r="AJ59" s="52">
        <f>+(84)+(37.8)+(84)+(0)+(0)+(0)</f>
        <v>205.8</v>
      </c>
      <c r="AK59" s="49">
        <v>150</v>
      </c>
      <c r="AL59" s="31">
        <f>+AH59+AI59+AJ59-AK59</f>
        <v>724.8</v>
      </c>
      <c r="AM59" s="52">
        <f>+(0)+(0)+(0)+(0)+(0)+(120)</f>
        <v>120</v>
      </c>
      <c r="AN59" s="52">
        <f>+(0)+(0)+(0)+(0)+(67.2)+(192)</f>
        <v>259.2</v>
      </c>
      <c r="AO59" s="72">
        <v>150</v>
      </c>
      <c r="AP59" s="74">
        <f>+AL59+AM59+AN59-AO59</f>
        <v>954</v>
      </c>
      <c r="AQ59" s="76">
        <f>+(0)+(0)+(96)+(0)+(54)+(163.2)</f>
        <v>313.2</v>
      </c>
      <c r="AR59" s="76">
        <f t="shared" si="49"/>
        <v>0</v>
      </c>
      <c r="AS59" s="74">
        <v>150</v>
      </c>
      <c r="AT59" s="74">
        <f>+AP59+AQ59+AR59-AS59</f>
        <v>1117.2</v>
      </c>
      <c r="AU59" s="73">
        <f>+(0)+(0)+(0)+(133.8)</f>
        <v>133.80000000000001</v>
      </c>
      <c r="AV59" s="73">
        <f>+(0)+(0)+(0)+(0)+(0)+(120)+(54.6)+(162)</f>
        <v>336.6</v>
      </c>
      <c r="AW59" s="74">
        <v>150</v>
      </c>
      <c r="AX59" s="74">
        <f t="shared" si="79"/>
        <v>1437.6</v>
      </c>
      <c r="AY59" s="109">
        <f>+(0)+(78)+(0)+(0)</f>
        <v>78</v>
      </c>
      <c r="AZ59" s="109">
        <f>+(162.6)+(0)+(174)+(0)+(78)+(0)+(78)+(0)</f>
        <v>492.6</v>
      </c>
      <c r="BA59" s="61">
        <v>150</v>
      </c>
      <c r="BB59" s="61">
        <f t="shared" si="77"/>
        <v>1858.1999999999998</v>
      </c>
      <c r="BD59" s="88">
        <v>0</v>
      </c>
      <c r="BE59" s="153">
        <v>108</v>
      </c>
      <c r="BF59" s="88">
        <v>0</v>
      </c>
      <c r="BG59" s="88">
        <v>0</v>
      </c>
      <c r="BH59" s="88">
        <v>0</v>
      </c>
      <c r="BI59" s="88">
        <v>0</v>
      </c>
      <c r="BJ59" s="88">
        <v>0</v>
      </c>
      <c r="BK59" s="88">
        <v>0</v>
      </c>
      <c r="BL59" s="88">
        <v>0</v>
      </c>
      <c r="BM59" s="88">
        <v>0</v>
      </c>
      <c r="BN59" s="88">
        <v>0</v>
      </c>
      <c r="BO59" s="88">
        <v>0</v>
      </c>
      <c r="BP59" s="210">
        <v>150</v>
      </c>
      <c r="BQ59" s="208">
        <f t="shared" si="6"/>
        <v>1816.1999999999998</v>
      </c>
      <c r="BR59" s="175">
        <f t="shared" si="7"/>
        <v>1050</v>
      </c>
    </row>
    <row r="60" spans="1:70" ht="25.8" thickBot="1" x14ac:dyDescent="0.65">
      <c r="A60" s="64">
        <v>52</v>
      </c>
      <c r="B60" s="112" t="s">
        <v>283</v>
      </c>
      <c r="C60" s="113" t="s">
        <v>19</v>
      </c>
      <c r="D60" s="114">
        <v>43405</v>
      </c>
      <c r="E60" s="115">
        <v>3</v>
      </c>
      <c r="F60" s="116">
        <f t="shared" si="69"/>
        <v>1599.9900000000002</v>
      </c>
      <c r="G60" s="116">
        <f>+BR60</f>
        <v>840</v>
      </c>
      <c r="H60" s="117">
        <f t="shared" si="84"/>
        <v>2439.9900000000002</v>
      </c>
      <c r="I60" s="118">
        <v>12</v>
      </c>
      <c r="J60" s="88">
        <v>12</v>
      </c>
      <c r="L60" s="122">
        <v>46327</v>
      </c>
      <c r="M60" s="120"/>
      <c r="N60" s="121" t="str">
        <f t="shared" ca="1" si="78"/>
        <v>O.K.</v>
      </c>
      <c r="W60" s="1" t="s">
        <v>283</v>
      </c>
      <c r="X60" s="50">
        <v>0</v>
      </c>
      <c r="Y60" s="48">
        <v>0</v>
      </c>
      <c r="Z60" s="49">
        <v>0</v>
      </c>
      <c r="AA60" s="49">
        <v>0</v>
      </c>
      <c r="AB60" s="49">
        <v>0</v>
      </c>
      <c r="AC60" s="31">
        <v>0</v>
      </c>
      <c r="AD60" s="28">
        <f>+AC60-AB60</f>
        <v>0</v>
      </c>
      <c r="AE60" s="52">
        <v>186.6</v>
      </c>
      <c r="AF60" s="52">
        <f>+(37.8)+(0)+(78)+(0)+(0)+(162)</f>
        <v>277.8</v>
      </c>
      <c r="AG60" s="49">
        <v>120</v>
      </c>
      <c r="AH60" s="22">
        <f>+AD60+(AE60+AF60)-AG60</f>
        <v>344.4</v>
      </c>
      <c r="AI60" s="52">
        <f>+(0)+(0)+(0)+(0)+(78)+(0)</f>
        <v>78</v>
      </c>
      <c r="AJ60" s="52">
        <f>+(0)+(156)+(0)+(0)+(0)+(0)</f>
        <v>156</v>
      </c>
      <c r="AK60" s="49">
        <v>120</v>
      </c>
      <c r="AL60" s="31">
        <f>+AH60+AI60+AJ60-AK60</f>
        <v>458.4</v>
      </c>
      <c r="AM60" s="52">
        <f t="shared" si="48"/>
        <v>0</v>
      </c>
      <c r="AN60" s="52">
        <f t="shared" si="48"/>
        <v>0</v>
      </c>
      <c r="AO60" s="72">
        <v>120</v>
      </c>
      <c r="AP60" s="74">
        <f>+AL60+AM60+AN60-AO60</f>
        <v>338.4</v>
      </c>
      <c r="AQ60" s="76">
        <f t="shared" si="49"/>
        <v>0</v>
      </c>
      <c r="AR60" s="76">
        <f t="shared" si="49"/>
        <v>0</v>
      </c>
      <c r="AS60" s="74">
        <v>120</v>
      </c>
      <c r="AT60" s="74">
        <f>+AP60+AQ60+AR60-AS60</f>
        <v>218.39999999999998</v>
      </c>
      <c r="AU60" s="73">
        <f>+(0)+(0)+(0)+(78)</f>
        <v>78</v>
      </c>
      <c r="AV60" s="73">
        <f>+(0)+(0)+(96)+(0)+(0)+(0)+(78)+(0)</f>
        <v>174</v>
      </c>
      <c r="AW60" s="73">
        <v>120</v>
      </c>
      <c r="AX60" s="73">
        <f t="shared" si="79"/>
        <v>350.4</v>
      </c>
      <c r="AY60" s="109">
        <f>+(0)+(21)+(0)+(108.6)</f>
        <v>129.6</v>
      </c>
      <c r="AZ60" s="109">
        <f>+(0)+(0)+(0)+(0)+(0)+(78)+(0)+(0)</f>
        <v>78</v>
      </c>
      <c r="BA60" s="61">
        <v>120</v>
      </c>
      <c r="BB60" s="61">
        <f t="shared" si="77"/>
        <v>438</v>
      </c>
      <c r="BD60" s="88">
        <v>0</v>
      </c>
      <c r="BE60" s="88">
        <v>0</v>
      </c>
      <c r="BF60" s="88">
        <v>0</v>
      </c>
      <c r="BG60" s="88">
        <v>0</v>
      </c>
      <c r="BH60" s="88">
        <v>0</v>
      </c>
      <c r="BI60" s="88">
        <v>0</v>
      </c>
      <c r="BJ60" s="88">
        <v>0</v>
      </c>
      <c r="BK60" s="88">
        <v>0</v>
      </c>
      <c r="BL60" s="88">
        <v>0</v>
      </c>
      <c r="BM60" s="88">
        <v>0</v>
      </c>
      <c r="BN60" s="88">
        <v>0</v>
      </c>
      <c r="BO60" s="88">
        <v>0</v>
      </c>
      <c r="BP60" s="210">
        <v>120</v>
      </c>
      <c r="BQ60" s="208">
        <f t="shared" si="6"/>
        <v>318</v>
      </c>
      <c r="BR60" s="175">
        <f t="shared" si="7"/>
        <v>840</v>
      </c>
    </row>
    <row r="61" spans="1:70" ht="25.8" thickBot="1" x14ac:dyDescent="0.65">
      <c r="A61" s="64">
        <v>53</v>
      </c>
      <c r="B61" s="166" t="s">
        <v>332</v>
      </c>
      <c r="C61" s="156" t="s">
        <v>20</v>
      </c>
      <c r="D61" s="167">
        <v>44270</v>
      </c>
      <c r="E61" s="168">
        <v>5</v>
      </c>
      <c r="F61" s="160">
        <f t="shared" ref="F61" si="90">+E61*$C$1</f>
        <v>2666.65</v>
      </c>
      <c r="G61" s="160">
        <f t="shared" ref="G61" si="91">+BR61</f>
        <v>900</v>
      </c>
      <c r="H61" s="161">
        <f t="shared" ref="H61" si="92">+F61+G61</f>
        <v>3566.65</v>
      </c>
      <c r="I61" s="162">
        <v>11</v>
      </c>
      <c r="J61" s="88">
        <v>11</v>
      </c>
      <c r="L61" s="169">
        <v>46553</v>
      </c>
      <c r="M61" s="164"/>
      <c r="N61" s="165" t="str">
        <f t="shared" ca="1" si="78"/>
        <v>O.K.</v>
      </c>
      <c r="W61" s="1" t="s">
        <v>332</v>
      </c>
      <c r="X61" s="50">
        <v>0</v>
      </c>
      <c r="Y61" s="48">
        <v>0</v>
      </c>
      <c r="Z61" s="49">
        <v>0</v>
      </c>
      <c r="AA61" s="49">
        <v>0</v>
      </c>
      <c r="AB61" s="49">
        <v>0</v>
      </c>
      <c r="AC61" s="31">
        <v>0</v>
      </c>
      <c r="AD61" s="28">
        <f>+AC61-AB61</f>
        <v>0</v>
      </c>
      <c r="AE61" s="52">
        <v>0</v>
      </c>
      <c r="AF61" s="52">
        <v>0</v>
      </c>
      <c r="AG61" s="49">
        <v>0</v>
      </c>
      <c r="AH61" s="22">
        <f>+AD61+(AE61+AF61)-AG61</f>
        <v>0</v>
      </c>
      <c r="AI61" s="52">
        <f t="shared" si="47"/>
        <v>0</v>
      </c>
      <c r="AJ61" s="52">
        <f>+(78)+(156)+(0)+(0)+(156)+(0)</f>
        <v>390</v>
      </c>
      <c r="AK61" s="49">
        <v>150</v>
      </c>
      <c r="AL61" s="31">
        <f>+AH61+AI61+AJ61-AK61</f>
        <v>240</v>
      </c>
      <c r="AM61" s="52">
        <f t="shared" si="48"/>
        <v>0</v>
      </c>
      <c r="AN61" s="52">
        <f>+(108.6)+(108)+(120)+(0)+(150)+(96)</f>
        <v>582.6</v>
      </c>
      <c r="AO61" s="72">
        <v>150</v>
      </c>
      <c r="AP61" s="74">
        <f>+AL61+AM61+AN61-AO61</f>
        <v>672.6</v>
      </c>
      <c r="AQ61" s="76">
        <f>+(204)+(0)+(0)+(0)+(84)+(0)</f>
        <v>288</v>
      </c>
      <c r="AR61" s="76">
        <f t="shared" si="49"/>
        <v>0</v>
      </c>
      <c r="AS61" s="74">
        <v>150</v>
      </c>
      <c r="AT61" s="74">
        <f>+AP61+AQ61+AR61-AS61</f>
        <v>810.6</v>
      </c>
      <c r="AU61" s="73">
        <f>+(0)+(0)+(97.2)+(294)</f>
        <v>391.2</v>
      </c>
      <c r="AV61" s="73">
        <f>+(126)+(0)+(96)+(0)+(0)+(0)+(156)+(78)</f>
        <v>456</v>
      </c>
      <c r="AW61" s="74">
        <v>150</v>
      </c>
      <c r="AX61" s="74">
        <f t="shared" si="79"/>
        <v>1507.8</v>
      </c>
      <c r="AY61" s="109">
        <f>+(30)+(120)+(0)+(54.6)</f>
        <v>204.6</v>
      </c>
      <c r="AZ61" s="109">
        <f>+(96)+(0)+(67.2)+(0)+(0)+(0)+(0)+(0)</f>
        <v>163.19999999999999</v>
      </c>
      <c r="BA61" s="61">
        <v>150</v>
      </c>
      <c r="BB61" s="61">
        <f t="shared" si="77"/>
        <v>1725.6</v>
      </c>
      <c r="BD61" s="88">
        <v>0</v>
      </c>
      <c r="BE61" s="88">
        <v>0</v>
      </c>
      <c r="BF61" s="88">
        <v>0</v>
      </c>
      <c r="BG61" s="88">
        <v>0</v>
      </c>
      <c r="BH61" s="88">
        <v>0</v>
      </c>
      <c r="BI61" s="88">
        <v>0</v>
      </c>
      <c r="BJ61" s="88">
        <v>0</v>
      </c>
      <c r="BK61" s="88">
        <v>0</v>
      </c>
      <c r="BL61" s="88">
        <v>0</v>
      </c>
      <c r="BM61" s="88">
        <v>0</v>
      </c>
      <c r="BN61" s="88">
        <v>0</v>
      </c>
      <c r="BO61" s="88">
        <v>0</v>
      </c>
      <c r="BP61" s="210">
        <v>150</v>
      </c>
      <c r="BQ61" s="208">
        <f t="shared" si="6"/>
        <v>1575.6</v>
      </c>
      <c r="BR61" s="175">
        <f t="shared" si="7"/>
        <v>900</v>
      </c>
    </row>
    <row r="62" spans="1:70" ht="25.8" thickBot="1" x14ac:dyDescent="0.65">
      <c r="A62" s="64">
        <v>54</v>
      </c>
      <c r="B62" s="112" t="s">
        <v>48</v>
      </c>
      <c r="C62" s="113" t="s">
        <v>20</v>
      </c>
      <c r="D62" s="112" t="s">
        <v>11</v>
      </c>
      <c r="E62" s="115">
        <v>14</v>
      </c>
      <c r="F62" s="116">
        <f t="shared" si="69"/>
        <v>7466.6200000000008</v>
      </c>
      <c r="G62" s="116">
        <f>+BR62</f>
        <v>2178</v>
      </c>
      <c r="H62" s="117">
        <f t="shared" si="84"/>
        <v>9644.6200000000008</v>
      </c>
      <c r="I62" s="118">
        <v>4</v>
      </c>
      <c r="J62" s="88">
        <v>4</v>
      </c>
      <c r="L62" s="122">
        <v>46023</v>
      </c>
      <c r="M62" s="120"/>
      <c r="N62" s="121" t="str">
        <f t="shared" ca="1" si="78"/>
        <v>O.K.</v>
      </c>
      <c r="W62" s="1" t="s">
        <v>48</v>
      </c>
      <c r="X62" s="50">
        <v>750</v>
      </c>
      <c r="Y62" s="48">
        <v>150</v>
      </c>
      <c r="Z62" s="49">
        <v>108</v>
      </c>
      <c r="AA62" s="49">
        <v>150</v>
      </c>
      <c r="AB62" s="49">
        <v>150</v>
      </c>
      <c r="AC62" s="31">
        <v>312</v>
      </c>
      <c r="AD62" s="28">
        <f>+AC62-AB62</f>
        <v>162</v>
      </c>
      <c r="AE62" s="52">
        <v>0</v>
      </c>
      <c r="AF62" s="52">
        <f t="shared" si="80"/>
        <v>0</v>
      </c>
      <c r="AG62" s="49">
        <v>150</v>
      </c>
      <c r="AH62" s="22">
        <f>+AD62+(AE62+AF62)-AG62</f>
        <v>12</v>
      </c>
      <c r="AI62" s="52">
        <f t="shared" si="47"/>
        <v>0</v>
      </c>
      <c r="AJ62" s="52">
        <f t="shared" si="47"/>
        <v>0</v>
      </c>
      <c r="AK62" s="49">
        <v>12</v>
      </c>
      <c r="AL62" s="31">
        <f>+AH62+AI62+AJ62-AK62</f>
        <v>0</v>
      </c>
      <c r="AM62" s="52">
        <f t="shared" si="48"/>
        <v>0</v>
      </c>
      <c r="AN62" s="52">
        <f>+(0)+(0)+(0)+(0)+(78)+(30)</f>
        <v>108</v>
      </c>
      <c r="AO62" s="72">
        <v>108</v>
      </c>
      <c r="AP62" s="74">
        <f>+AL62+AM62+AN62-AO62</f>
        <v>0</v>
      </c>
      <c r="AQ62" s="76">
        <f>+(96)+(0)+(0)+(0)+(54)+(0)</f>
        <v>150</v>
      </c>
      <c r="AR62" s="76">
        <f t="shared" si="49"/>
        <v>0</v>
      </c>
      <c r="AS62" s="74">
        <v>150</v>
      </c>
      <c r="AT62" s="74">
        <f>+AP62+AQ62+AR62-AS62</f>
        <v>0</v>
      </c>
      <c r="AU62" s="73">
        <f>+(0)+(0)+(0)+(204)</f>
        <v>204</v>
      </c>
      <c r="AV62" s="73">
        <f t="shared" si="30"/>
        <v>0</v>
      </c>
      <c r="AW62" s="73">
        <v>150</v>
      </c>
      <c r="AX62" s="73">
        <f t="shared" si="79"/>
        <v>54</v>
      </c>
      <c r="AY62" s="109">
        <f>+(0)+(0)+(0)+(0)</f>
        <v>0</v>
      </c>
      <c r="AZ62" s="109">
        <f>+(0)+(108)+(145.2)+(0)+(60)+(0)+(162)+(0)</f>
        <v>475.2</v>
      </c>
      <c r="BA62" s="61">
        <v>150</v>
      </c>
      <c r="BB62" s="61">
        <f t="shared" si="77"/>
        <v>379.20000000000005</v>
      </c>
      <c r="BD62" s="88">
        <v>0</v>
      </c>
      <c r="BE62" s="88">
        <v>0</v>
      </c>
      <c r="BF62" s="88">
        <v>0</v>
      </c>
      <c r="BG62" s="88">
        <v>0</v>
      </c>
      <c r="BH62" s="88">
        <v>0</v>
      </c>
      <c r="BI62" s="88">
        <v>0</v>
      </c>
      <c r="BJ62" s="88">
        <v>0</v>
      </c>
      <c r="BK62" s="88">
        <v>0</v>
      </c>
      <c r="BL62" s="88">
        <v>0</v>
      </c>
      <c r="BM62" s="88">
        <v>0</v>
      </c>
      <c r="BN62" s="88">
        <v>0</v>
      </c>
      <c r="BO62" s="88">
        <v>0</v>
      </c>
      <c r="BP62" s="210">
        <v>150</v>
      </c>
      <c r="BQ62" s="208">
        <f t="shared" si="6"/>
        <v>229.20000000000005</v>
      </c>
      <c r="BR62" s="175">
        <f t="shared" si="7"/>
        <v>2178</v>
      </c>
    </row>
    <row r="63" spans="1:70" ht="25.8" thickBot="1" x14ac:dyDescent="0.65">
      <c r="A63" s="64">
        <v>55</v>
      </c>
      <c r="B63" s="166" t="s">
        <v>50</v>
      </c>
      <c r="C63" s="156" t="s">
        <v>20</v>
      </c>
      <c r="D63" s="170">
        <v>39979</v>
      </c>
      <c r="E63" s="168">
        <v>8</v>
      </c>
      <c r="F63" s="160">
        <f t="shared" si="69"/>
        <v>4266.6400000000003</v>
      </c>
      <c r="G63" s="160">
        <f>+BR63</f>
        <v>2442</v>
      </c>
      <c r="H63" s="161">
        <f t="shared" si="84"/>
        <v>6708.64</v>
      </c>
      <c r="I63" s="162">
        <v>7</v>
      </c>
      <c r="J63" s="88">
        <v>7</v>
      </c>
      <c r="K63" s="212" t="s">
        <v>315</v>
      </c>
      <c r="L63" s="169">
        <v>46553</v>
      </c>
      <c r="M63" s="164"/>
      <c r="N63" s="165" t="str">
        <f t="shared" ca="1" si="78"/>
        <v>O.K.</v>
      </c>
      <c r="W63" s="1" t="s">
        <v>50</v>
      </c>
      <c r="X63" s="50">
        <v>900</v>
      </c>
      <c r="Y63" s="48">
        <v>96</v>
      </c>
      <c r="Z63" s="49">
        <v>96</v>
      </c>
      <c r="AA63" s="49">
        <v>150</v>
      </c>
      <c r="AB63" s="49">
        <v>150</v>
      </c>
      <c r="AC63" s="31">
        <v>234</v>
      </c>
      <c r="AD63" s="28">
        <f>+AC63-AB63</f>
        <v>84</v>
      </c>
      <c r="AE63" s="52">
        <f>132.6+54</f>
        <v>186.6</v>
      </c>
      <c r="AF63" s="52">
        <f>+(0)+(0)+(54)+(0)+(54)+(162)</f>
        <v>270</v>
      </c>
      <c r="AG63" s="49">
        <v>150</v>
      </c>
      <c r="AH63" s="22">
        <f>+AD63+(AE63+AF63)-AG63</f>
        <v>390.6</v>
      </c>
      <c r="AI63" s="52">
        <f t="shared" si="47"/>
        <v>0</v>
      </c>
      <c r="AJ63" s="52">
        <f>+(234)+(0)+(0)+(0)+(78)+(0)</f>
        <v>312</v>
      </c>
      <c r="AK63" s="49">
        <v>150</v>
      </c>
      <c r="AL63" s="31">
        <f>+AH63+AI63+AJ63-AK63</f>
        <v>552.6</v>
      </c>
      <c r="AM63" s="52">
        <f t="shared" si="48"/>
        <v>0</v>
      </c>
      <c r="AN63" s="52">
        <f>+(216)+(78)+(0)+(0)+(0)+(96)</f>
        <v>390</v>
      </c>
      <c r="AO63" s="72">
        <v>150</v>
      </c>
      <c r="AP63" s="74">
        <f>+AL63+AM63+AN63-AO63</f>
        <v>792.6</v>
      </c>
      <c r="AQ63" s="76">
        <f>+(0)+(0)+(0)+(78)+(54)+(0)</f>
        <v>132</v>
      </c>
      <c r="AR63" s="76">
        <f>+(0)+(30)+(0)+(0)+(0)+(0)</f>
        <v>30</v>
      </c>
      <c r="AS63" s="74">
        <v>150</v>
      </c>
      <c r="AT63" s="74">
        <f>+AP63+AQ63+AR63-AS63</f>
        <v>804.6</v>
      </c>
      <c r="AU63" s="73">
        <f>+(0)+(0)+(0)+(75)</f>
        <v>75</v>
      </c>
      <c r="AV63" s="73">
        <f>+(0)+(0)+(0)+(0)+(0)+(60)+(30)+(0)</f>
        <v>90</v>
      </c>
      <c r="AW63" s="73">
        <v>150</v>
      </c>
      <c r="AX63" s="73">
        <f t="shared" si="79"/>
        <v>819.6</v>
      </c>
      <c r="AY63" s="109">
        <f>+(0)+(108)+(0)+(78)</f>
        <v>186</v>
      </c>
      <c r="AZ63" s="109">
        <f>+(0)+(0)+(0)+(0)+(0)+(0)+(0)+(0)</f>
        <v>0</v>
      </c>
      <c r="BA63" s="61">
        <v>150</v>
      </c>
      <c r="BB63" s="61">
        <f t="shared" si="77"/>
        <v>855.6</v>
      </c>
      <c r="BD63" s="88">
        <v>0</v>
      </c>
      <c r="BE63" s="88">
        <v>0</v>
      </c>
      <c r="BF63" s="88">
        <v>0</v>
      </c>
      <c r="BG63" s="88">
        <v>0</v>
      </c>
      <c r="BH63" s="88">
        <v>0</v>
      </c>
      <c r="BI63" s="88">
        <v>0</v>
      </c>
      <c r="BJ63" s="88">
        <v>0</v>
      </c>
      <c r="BK63" s="88">
        <v>0</v>
      </c>
      <c r="BL63" s="88">
        <v>0</v>
      </c>
      <c r="BM63" s="88">
        <v>0</v>
      </c>
      <c r="BN63" s="88">
        <v>0</v>
      </c>
      <c r="BO63" s="88">
        <v>0</v>
      </c>
      <c r="BP63" s="210">
        <v>150</v>
      </c>
      <c r="BQ63" s="208">
        <f t="shared" si="6"/>
        <v>705.6</v>
      </c>
      <c r="BR63" s="175">
        <f t="shared" si="7"/>
        <v>2442</v>
      </c>
    </row>
    <row r="64" spans="1:70" ht="25.8" thickBot="1" x14ac:dyDescent="0.65">
      <c r="A64" s="64">
        <v>56</v>
      </c>
      <c r="B64" s="112" t="s">
        <v>448</v>
      </c>
      <c r="C64" s="113" t="s">
        <v>23</v>
      </c>
      <c r="D64" s="123">
        <v>45442</v>
      </c>
      <c r="E64" s="115">
        <v>0</v>
      </c>
      <c r="F64" s="116">
        <f t="shared" si="69"/>
        <v>0</v>
      </c>
      <c r="G64" s="116">
        <f t="shared" ref="G64" si="93">+BR64</f>
        <v>0</v>
      </c>
      <c r="H64" s="117">
        <f t="shared" ref="H64" si="94">+F64+G64</f>
        <v>0</v>
      </c>
      <c r="I64" s="118">
        <v>15</v>
      </c>
      <c r="J64" s="88">
        <v>15</v>
      </c>
      <c r="L64" s="122">
        <v>46172</v>
      </c>
      <c r="M64" s="120"/>
      <c r="N64" s="121" t="str">
        <f t="shared" ca="1" si="78"/>
        <v>O.K.</v>
      </c>
      <c r="W64" s="1" t="s">
        <v>448</v>
      </c>
      <c r="X64" s="50"/>
      <c r="Y64" s="48"/>
      <c r="Z64" s="49"/>
      <c r="AA64" s="49"/>
      <c r="AB64" s="49"/>
      <c r="AC64" s="31"/>
      <c r="AD64" s="28"/>
      <c r="AE64" s="52"/>
      <c r="AF64" s="52"/>
      <c r="AG64" s="49"/>
      <c r="AH64" s="22"/>
      <c r="AI64" s="52"/>
      <c r="AJ64" s="52"/>
      <c r="AK64" s="49"/>
      <c r="AL64" s="31"/>
      <c r="AM64" s="52"/>
      <c r="AN64" s="52"/>
      <c r="AO64" s="72"/>
      <c r="AP64" s="74"/>
      <c r="AQ64" s="76"/>
      <c r="AR64" s="76"/>
      <c r="AS64" s="74"/>
      <c r="AT64" s="74"/>
      <c r="AU64" s="73"/>
      <c r="AV64" s="73"/>
      <c r="AW64" s="73"/>
      <c r="AX64" s="73">
        <f t="shared" si="79"/>
        <v>0</v>
      </c>
      <c r="AY64" s="109">
        <f>+(0)+(0)+(0)+(0)</f>
        <v>0</v>
      </c>
      <c r="AZ64" s="109">
        <f>+(0)+(0)+(0)+(0)+(0)+(0)+(0)+(0)</f>
        <v>0</v>
      </c>
      <c r="BA64" s="61">
        <v>0</v>
      </c>
      <c r="BB64" s="61">
        <f t="shared" si="77"/>
        <v>0</v>
      </c>
      <c r="BD64" s="88">
        <v>0</v>
      </c>
      <c r="BE64" s="88">
        <v>0</v>
      </c>
      <c r="BF64" s="88">
        <v>0</v>
      </c>
      <c r="BG64" s="88">
        <v>0</v>
      </c>
      <c r="BH64" s="88">
        <v>0</v>
      </c>
      <c r="BI64" s="88">
        <v>0</v>
      </c>
      <c r="BJ64" s="88">
        <v>0</v>
      </c>
      <c r="BK64" s="88">
        <v>0</v>
      </c>
      <c r="BL64" s="88">
        <v>0</v>
      </c>
      <c r="BM64" s="88">
        <v>0</v>
      </c>
      <c r="BN64" s="88">
        <v>0</v>
      </c>
      <c r="BO64" s="88">
        <v>0</v>
      </c>
      <c r="BP64" s="210">
        <v>0</v>
      </c>
      <c r="BQ64" s="208">
        <f t="shared" si="6"/>
        <v>0</v>
      </c>
      <c r="BR64" s="175">
        <f t="shared" si="7"/>
        <v>0</v>
      </c>
    </row>
    <row r="65" spans="1:70" ht="25.8" thickBot="1" x14ac:dyDescent="0.65">
      <c r="A65" s="64">
        <v>57</v>
      </c>
      <c r="B65" s="181" t="s">
        <v>403</v>
      </c>
      <c r="C65" s="182" t="s">
        <v>20</v>
      </c>
      <c r="D65" s="190">
        <v>45082</v>
      </c>
      <c r="E65" s="184">
        <v>0</v>
      </c>
      <c r="F65" s="185">
        <f t="shared" ref="F65" si="95">+E65*$C$1</f>
        <v>0</v>
      </c>
      <c r="G65" s="185">
        <f t="shared" ref="G65" si="96">+BR65</f>
        <v>0</v>
      </c>
      <c r="H65" s="186">
        <f t="shared" ref="H65" si="97">+F65+G65</f>
        <v>0</v>
      </c>
      <c r="I65" s="187">
        <v>15</v>
      </c>
      <c r="J65" s="88">
        <v>15</v>
      </c>
      <c r="L65" s="180" t="s">
        <v>442</v>
      </c>
      <c r="M65" s="188"/>
      <c r="N65" s="189"/>
      <c r="W65" s="1" t="s">
        <v>403</v>
      </c>
      <c r="X65" s="50"/>
      <c r="Y65" s="48"/>
      <c r="Z65" s="49"/>
      <c r="AA65" s="49"/>
      <c r="AB65" s="49"/>
      <c r="AC65" s="31"/>
      <c r="AD65" s="28"/>
      <c r="AE65" s="52"/>
      <c r="AF65" s="52"/>
      <c r="AG65" s="49"/>
      <c r="AH65" s="22"/>
      <c r="AI65" s="52"/>
      <c r="AJ65" s="52"/>
      <c r="AK65" s="49"/>
      <c r="AL65" s="31"/>
      <c r="AM65" s="52"/>
      <c r="AN65" s="52"/>
      <c r="AO65" s="72"/>
      <c r="AP65" s="74"/>
      <c r="AQ65" s="76"/>
      <c r="AR65" s="76"/>
      <c r="AS65" s="74"/>
      <c r="AT65" s="74"/>
      <c r="AU65" s="73"/>
      <c r="AV65" s="73"/>
      <c r="AW65" s="73"/>
      <c r="AX65" s="73">
        <f t="shared" si="79"/>
        <v>0</v>
      </c>
      <c r="AY65" s="109">
        <f>+(0)+(0)+(0)+(0)</f>
        <v>0</v>
      </c>
      <c r="AZ65" s="109">
        <f>+(0)+(0)+(0)+(0)+(0)+(0)+(0)+(0)</f>
        <v>0</v>
      </c>
      <c r="BA65" s="61">
        <v>0</v>
      </c>
      <c r="BB65" s="61">
        <f t="shared" si="77"/>
        <v>0</v>
      </c>
      <c r="BD65" s="88">
        <v>0</v>
      </c>
      <c r="BE65" s="88">
        <v>0</v>
      </c>
      <c r="BF65" s="88">
        <v>0</v>
      </c>
      <c r="BG65" s="88">
        <v>0</v>
      </c>
      <c r="BH65" s="88">
        <v>0</v>
      </c>
      <c r="BI65" s="88">
        <v>0</v>
      </c>
      <c r="BJ65" s="88">
        <v>0</v>
      </c>
      <c r="BK65" s="88">
        <v>0</v>
      </c>
      <c r="BL65" s="88">
        <v>0</v>
      </c>
      <c r="BM65" s="88">
        <v>0</v>
      </c>
      <c r="BN65" s="88">
        <v>0</v>
      </c>
      <c r="BO65" s="88">
        <v>0</v>
      </c>
      <c r="BP65" s="210">
        <v>0</v>
      </c>
      <c r="BQ65" s="208">
        <f t="shared" si="6"/>
        <v>0</v>
      </c>
      <c r="BR65" s="175">
        <f t="shared" si="7"/>
        <v>0</v>
      </c>
    </row>
    <row r="66" spans="1:70" ht="25.8" thickBot="1" x14ac:dyDescent="0.65">
      <c r="A66" s="64">
        <v>58</v>
      </c>
      <c r="B66" s="112" t="s">
        <v>350</v>
      </c>
      <c r="C66" s="113" t="s">
        <v>20</v>
      </c>
      <c r="D66" s="123">
        <v>44562</v>
      </c>
      <c r="E66" s="115">
        <v>1</v>
      </c>
      <c r="F66" s="116">
        <f t="shared" si="69"/>
        <v>533.33000000000004</v>
      </c>
      <c r="G66" s="116">
        <f>+BR66</f>
        <v>696</v>
      </c>
      <c r="H66" s="117">
        <f t="shared" si="84"/>
        <v>1229.33</v>
      </c>
      <c r="I66" s="118">
        <v>14</v>
      </c>
      <c r="J66" s="88">
        <v>14</v>
      </c>
      <c r="L66" s="122">
        <v>46023</v>
      </c>
      <c r="M66" s="120"/>
      <c r="N66" s="121" t="str">
        <f ca="1">IF($B$2&lt;L66,"O.K.","A L E R T A ")</f>
        <v>O.K.</v>
      </c>
      <c r="W66" s="1" t="s">
        <v>350</v>
      </c>
      <c r="X66" s="50">
        <v>0</v>
      </c>
      <c r="Y66" s="48">
        <v>0</v>
      </c>
      <c r="Z66" s="49">
        <v>0</v>
      </c>
      <c r="AA66" s="49">
        <v>0</v>
      </c>
      <c r="AB66" s="49">
        <v>0</v>
      </c>
      <c r="AC66" s="31">
        <v>0</v>
      </c>
      <c r="AD66" s="28">
        <f t="shared" ref="AD66:AD71" si="98">+AC66-AB66</f>
        <v>0</v>
      </c>
      <c r="AE66" s="52">
        <v>0</v>
      </c>
      <c r="AF66" s="52">
        <v>0</v>
      </c>
      <c r="AG66" s="49">
        <v>0</v>
      </c>
      <c r="AH66" s="22">
        <f t="shared" ref="AH66:AH71" si="99">+AD66+(AE66+AF66)-AG66</f>
        <v>0</v>
      </c>
      <c r="AI66" s="52">
        <v>0</v>
      </c>
      <c r="AJ66" s="52">
        <v>0</v>
      </c>
      <c r="AK66" s="49">
        <v>0</v>
      </c>
      <c r="AL66" s="31">
        <f t="shared" ref="AL66:AL71" si="100">+AH66+AI66+AJ66-AK66</f>
        <v>0</v>
      </c>
      <c r="AM66" s="52">
        <f t="shared" si="48"/>
        <v>0</v>
      </c>
      <c r="AN66" s="52">
        <f>+(0)+(0)+(0)+(0)+(0)+(96)</f>
        <v>96</v>
      </c>
      <c r="AO66" s="72">
        <v>96</v>
      </c>
      <c r="AP66" s="74">
        <f t="shared" ref="AP66:AP71" si="101">+AL66+AM66+AN66-AO66</f>
        <v>0</v>
      </c>
      <c r="AQ66" s="76">
        <f>+(108)+(0)+(0)+(0)+(54)+(0)</f>
        <v>162</v>
      </c>
      <c r="AR66" s="76">
        <f>+(0)+(192)+(0)+(0)+(0)+(0)</f>
        <v>192</v>
      </c>
      <c r="AS66" s="74">
        <v>150</v>
      </c>
      <c r="AT66" s="74">
        <f t="shared" ref="AT66:AT71" si="102">+AP66+AQ66+AR66-AS66</f>
        <v>204</v>
      </c>
      <c r="AU66" s="73">
        <f>+(0)+(0)+(0)+(96)</f>
        <v>96</v>
      </c>
      <c r="AV66" s="73">
        <f>+(0)+(0)+(96)+(0)+(78)+(0)+(0)+(78)</f>
        <v>252</v>
      </c>
      <c r="AW66" s="74">
        <v>150</v>
      </c>
      <c r="AX66" s="74">
        <f t="shared" si="79"/>
        <v>402</v>
      </c>
      <c r="AY66" s="109">
        <f>+(0)+(0)+(0)+(0)</f>
        <v>0</v>
      </c>
      <c r="AZ66" s="109">
        <f>+(0)+(0)+(0)+(0)+(0)+(0)+(192)+(0)</f>
        <v>192</v>
      </c>
      <c r="BA66" s="61">
        <v>150</v>
      </c>
      <c r="BB66" s="61">
        <f t="shared" si="77"/>
        <v>444</v>
      </c>
      <c r="BD66" s="88">
        <v>0</v>
      </c>
      <c r="BE66" s="88">
        <v>0</v>
      </c>
      <c r="BF66" s="88">
        <v>0</v>
      </c>
      <c r="BG66" s="88">
        <v>0</v>
      </c>
      <c r="BH66" s="88">
        <v>0</v>
      </c>
      <c r="BI66" s="88">
        <v>0</v>
      </c>
      <c r="BJ66" s="88">
        <v>0</v>
      </c>
      <c r="BK66" s="88">
        <v>0</v>
      </c>
      <c r="BL66" s="88">
        <v>0</v>
      </c>
      <c r="BM66" s="88">
        <v>0</v>
      </c>
      <c r="BN66" s="88">
        <v>0</v>
      </c>
      <c r="BO66" s="88">
        <v>0</v>
      </c>
      <c r="BP66" s="210">
        <v>150</v>
      </c>
      <c r="BQ66" s="208">
        <f t="shared" si="6"/>
        <v>294</v>
      </c>
      <c r="BR66" s="175">
        <f t="shared" si="7"/>
        <v>696</v>
      </c>
    </row>
    <row r="67" spans="1:70" ht="25.8" thickBot="1" x14ac:dyDescent="0.65">
      <c r="A67" s="64">
        <v>59</v>
      </c>
      <c r="B67" s="166" t="s">
        <v>175</v>
      </c>
      <c r="C67" s="156" t="s">
        <v>20</v>
      </c>
      <c r="D67" s="167">
        <v>42537</v>
      </c>
      <c r="E67" s="168">
        <v>5</v>
      </c>
      <c r="F67" s="160">
        <f t="shared" si="69"/>
        <v>2666.65</v>
      </c>
      <c r="G67" s="160">
        <f t="shared" ref="G67:G111" si="103">+BR67</f>
        <v>1435.8</v>
      </c>
      <c r="H67" s="161">
        <f t="shared" si="84"/>
        <v>4102.45</v>
      </c>
      <c r="I67" s="162">
        <v>11</v>
      </c>
      <c r="J67" s="88">
        <v>11</v>
      </c>
      <c r="L67" s="178">
        <v>46560</v>
      </c>
      <c r="M67" s="164"/>
      <c r="N67" s="165" t="str">
        <f ca="1">IF($B$2&lt;L67,"O.K.","A L E R T A ")</f>
        <v>O.K.</v>
      </c>
      <c r="W67" s="1" t="s">
        <v>175</v>
      </c>
      <c r="X67" s="50">
        <v>0</v>
      </c>
      <c r="Y67" s="48">
        <v>96</v>
      </c>
      <c r="Z67" s="49">
        <v>108</v>
      </c>
      <c r="AA67" s="49">
        <v>150</v>
      </c>
      <c r="AB67" s="49">
        <v>150</v>
      </c>
      <c r="AC67" s="31">
        <v>210.6</v>
      </c>
      <c r="AD67" s="28">
        <f t="shared" si="98"/>
        <v>60.599999999999994</v>
      </c>
      <c r="AE67" s="52">
        <f>78+78+78</f>
        <v>234</v>
      </c>
      <c r="AF67" s="52">
        <f>+(0)+(0)+(78)+(0)+(54)+(54)</f>
        <v>186</v>
      </c>
      <c r="AG67" s="49">
        <v>150</v>
      </c>
      <c r="AH67" s="22">
        <f t="shared" si="99"/>
        <v>330.6</v>
      </c>
      <c r="AI67" s="52">
        <f t="shared" si="47"/>
        <v>0</v>
      </c>
      <c r="AJ67" s="52">
        <f>+(78)+(0)+(0)+(0)+(0)+(0)</f>
        <v>78</v>
      </c>
      <c r="AK67" s="49">
        <v>150</v>
      </c>
      <c r="AL67" s="31">
        <f t="shared" si="100"/>
        <v>258.60000000000002</v>
      </c>
      <c r="AM67" s="52">
        <f t="shared" si="48"/>
        <v>0</v>
      </c>
      <c r="AN67" s="52">
        <f t="shared" si="48"/>
        <v>0</v>
      </c>
      <c r="AO67" s="72">
        <v>150</v>
      </c>
      <c r="AP67" s="74">
        <f t="shared" si="101"/>
        <v>108.60000000000002</v>
      </c>
      <c r="AQ67" s="76">
        <f t="shared" si="49"/>
        <v>0</v>
      </c>
      <c r="AR67" s="76">
        <f>+(30)+(67.2)+(0)+(0)+(0)+(0)</f>
        <v>97.2</v>
      </c>
      <c r="AS67" s="74">
        <v>150</v>
      </c>
      <c r="AT67" s="74">
        <f t="shared" si="102"/>
        <v>55.800000000000011</v>
      </c>
      <c r="AU67" s="73">
        <f>+(120)+(0)+(0)+(78)</f>
        <v>198</v>
      </c>
      <c r="AV67" s="73">
        <f>+(0)+(0)+(0)+(0)+(0)+(0)+(0)+(0)</f>
        <v>0</v>
      </c>
      <c r="AW67" s="73">
        <v>150</v>
      </c>
      <c r="AX67" s="73">
        <f>+AT67+AU67+AV67-AW67</f>
        <v>103.80000000000001</v>
      </c>
      <c r="AY67" s="109">
        <f>+(0)+(0)+(0)+(0)</f>
        <v>0</v>
      </c>
      <c r="AZ67" s="109">
        <f>+(78)+(0)+(0)+(0)+(0)+(0)+(0)+(0)</f>
        <v>78</v>
      </c>
      <c r="BA67" s="61">
        <v>150</v>
      </c>
      <c r="BB67" s="61">
        <f t="shared" si="77"/>
        <v>31.800000000000011</v>
      </c>
      <c r="BD67" s="88">
        <v>0</v>
      </c>
      <c r="BE67" s="88">
        <v>0</v>
      </c>
      <c r="BF67" s="88">
        <v>0</v>
      </c>
      <c r="BG67" s="88">
        <v>0</v>
      </c>
      <c r="BH67" s="88">
        <v>0</v>
      </c>
      <c r="BI67" s="88">
        <v>0</v>
      </c>
      <c r="BJ67" s="88">
        <v>0</v>
      </c>
      <c r="BK67" s="88">
        <v>0</v>
      </c>
      <c r="BL67" s="88">
        <v>0</v>
      </c>
      <c r="BM67" s="88">
        <v>0</v>
      </c>
      <c r="BN67" s="88">
        <v>0</v>
      </c>
      <c r="BO67" s="88">
        <v>0</v>
      </c>
      <c r="BP67" s="210">
        <v>31.8</v>
      </c>
      <c r="BQ67" s="208">
        <f t="shared" si="6"/>
        <v>0</v>
      </c>
      <c r="BR67" s="175">
        <f t="shared" si="7"/>
        <v>1435.8</v>
      </c>
    </row>
    <row r="68" spans="1:70" ht="25.8" thickBot="1" x14ac:dyDescent="0.65">
      <c r="A68" s="64">
        <v>60</v>
      </c>
      <c r="B68" s="112" t="s">
        <v>320</v>
      </c>
      <c r="C68" s="113" t="s">
        <v>21</v>
      </c>
      <c r="D68" s="114">
        <v>44095</v>
      </c>
      <c r="E68" s="115">
        <v>2</v>
      </c>
      <c r="F68" s="116">
        <f t="shared" si="69"/>
        <v>1066.6600000000001</v>
      </c>
      <c r="G68" s="116">
        <f t="shared" si="103"/>
        <v>900</v>
      </c>
      <c r="H68" s="117">
        <f t="shared" si="84"/>
        <v>1966.66</v>
      </c>
      <c r="I68" s="118">
        <v>13</v>
      </c>
      <c r="J68" s="88">
        <v>13</v>
      </c>
      <c r="L68" s="131">
        <v>46286</v>
      </c>
      <c r="M68" s="120"/>
      <c r="N68" s="121" t="str">
        <f ca="1">IF($B$2&lt;L68,"O.K.","A L E R T A ")</f>
        <v>O.K.</v>
      </c>
      <c r="W68" s="1" t="s">
        <v>320</v>
      </c>
      <c r="X68" s="50">
        <v>0</v>
      </c>
      <c r="Y68" s="48">
        <v>0</v>
      </c>
      <c r="Z68" s="49">
        <v>0</v>
      </c>
      <c r="AA68" s="49">
        <v>0</v>
      </c>
      <c r="AB68" s="49">
        <v>0</v>
      </c>
      <c r="AC68" s="31">
        <v>0</v>
      </c>
      <c r="AD68" s="28">
        <f t="shared" si="98"/>
        <v>0</v>
      </c>
      <c r="AE68" s="52">
        <v>0</v>
      </c>
      <c r="AF68" s="52">
        <f t="shared" si="80"/>
        <v>0</v>
      </c>
      <c r="AG68" s="49">
        <v>0</v>
      </c>
      <c r="AH68" s="22">
        <f t="shared" si="99"/>
        <v>0</v>
      </c>
      <c r="AI68" s="52">
        <f t="shared" si="47"/>
        <v>0</v>
      </c>
      <c r="AJ68" s="52">
        <f>+(330)+(0)+(78)+(0)+(0)+(0)</f>
        <v>408</v>
      </c>
      <c r="AK68" s="49">
        <v>150</v>
      </c>
      <c r="AL68" s="31">
        <f t="shared" si="100"/>
        <v>258</v>
      </c>
      <c r="AM68" s="52">
        <f t="shared" si="48"/>
        <v>0</v>
      </c>
      <c r="AN68" s="52">
        <f>+(0)+(78)+(0)+(0)+(96)+(96)</f>
        <v>270</v>
      </c>
      <c r="AO68" s="72">
        <v>150</v>
      </c>
      <c r="AP68" s="74">
        <f t="shared" si="101"/>
        <v>378</v>
      </c>
      <c r="AQ68" s="76">
        <f>+(54)+(0)+(0)+(0)+(84)+(0)</f>
        <v>138</v>
      </c>
      <c r="AR68" s="76">
        <f t="shared" si="49"/>
        <v>0</v>
      </c>
      <c r="AS68" s="74">
        <v>150</v>
      </c>
      <c r="AT68" s="74">
        <f t="shared" si="102"/>
        <v>366</v>
      </c>
      <c r="AU68" s="73">
        <f>+(54)+(108)+(0)+(54)</f>
        <v>216</v>
      </c>
      <c r="AV68" s="73">
        <f>+(0)+(0)+(0)+(0)+(120)+(54)+(0)+(0)</f>
        <v>174</v>
      </c>
      <c r="AW68" s="73">
        <v>150</v>
      </c>
      <c r="AX68" s="73">
        <f>+AT68+AU68+AV68-AW68</f>
        <v>606</v>
      </c>
      <c r="AY68" s="109">
        <f>+(0)+(0)+(0)+(0)</f>
        <v>0</v>
      </c>
      <c r="AZ68" s="109">
        <f>+(0)+(0)+(0)+(0)+(0)+(0)+(0)+(0)</f>
        <v>0</v>
      </c>
      <c r="BA68" s="61">
        <v>150</v>
      </c>
      <c r="BB68" s="61">
        <f t="shared" si="77"/>
        <v>456</v>
      </c>
      <c r="BD68" s="88">
        <v>0</v>
      </c>
      <c r="BE68" s="88">
        <v>0</v>
      </c>
      <c r="BF68" s="88">
        <v>0</v>
      </c>
      <c r="BG68" s="88">
        <v>0</v>
      </c>
      <c r="BH68" s="88">
        <v>0</v>
      </c>
      <c r="BI68" s="88">
        <v>0</v>
      </c>
      <c r="BJ68" s="88">
        <v>0</v>
      </c>
      <c r="BK68" s="88">
        <v>0</v>
      </c>
      <c r="BL68" s="88">
        <v>0</v>
      </c>
      <c r="BM68" s="88">
        <v>0</v>
      </c>
      <c r="BN68" s="88">
        <v>0</v>
      </c>
      <c r="BO68" s="88">
        <v>0</v>
      </c>
      <c r="BP68" s="210">
        <v>150</v>
      </c>
      <c r="BQ68" s="208">
        <f t="shared" si="6"/>
        <v>306</v>
      </c>
      <c r="BR68" s="175">
        <f t="shared" si="7"/>
        <v>900</v>
      </c>
    </row>
    <row r="69" spans="1:70" ht="25.8" thickBot="1" x14ac:dyDescent="0.65">
      <c r="A69" s="64">
        <v>61</v>
      </c>
      <c r="B69" s="166" t="s">
        <v>176</v>
      </c>
      <c r="C69" s="156" t="s">
        <v>20</v>
      </c>
      <c r="D69" s="167">
        <v>41913</v>
      </c>
      <c r="E69" s="168">
        <v>8</v>
      </c>
      <c r="F69" s="160">
        <f t="shared" si="69"/>
        <v>4266.6400000000003</v>
      </c>
      <c r="G69" s="160">
        <f t="shared" si="103"/>
        <v>1698.6</v>
      </c>
      <c r="H69" s="161">
        <f t="shared" si="84"/>
        <v>5965.24</v>
      </c>
      <c r="I69" s="162">
        <v>8</v>
      </c>
      <c r="J69" s="88">
        <v>8</v>
      </c>
      <c r="L69" s="178">
        <v>46478</v>
      </c>
      <c r="M69" s="164"/>
      <c r="N69" s="165" t="str">
        <f ca="1">IF($B$2&lt;L69,"O.K.","A L E R T A ")</f>
        <v>O.K.</v>
      </c>
      <c r="W69" s="1" t="s">
        <v>176</v>
      </c>
      <c r="X69" s="50">
        <v>300</v>
      </c>
      <c r="Y69" s="48">
        <v>96</v>
      </c>
      <c r="Z69" s="49">
        <v>96</v>
      </c>
      <c r="AA69" s="49">
        <v>150</v>
      </c>
      <c r="AB69" s="49">
        <v>150</v>
      </c>
      <c r="AC69" s="31">
        <v>234</v>
      </c>
      <c r="AD69" s="28">
        <f t="shared" si="98"/>
        <v>84</v>
      </c>
      <c r="AE69" s="52">
        <v>0</v>
      </c>
      <c r="AF69" s="52">
        <f>+(0)+(0)+(462)+(0)+(0)+(0)</f>
        <v>462</v>
      </c>
      <c r="AG69" s="49">
        <v>150</v>
      </c>
      <c r="AH69" s="22">
        <f t="shared" si="99"/>
        <v>396</v>
      </c>
      <c r="AI69" s="52">
        <f t="shared" si="47"/>
        <v>0</v>
      </c>
      <c r="AJ69" s="52">
        <f>+(0)+(0)+(0)+(0)+(30)+(0)</f>
        <v>30</v>
      </c>
      <c r="AK69" s="49">
        <v>150</v>
      </c>
      <c r="AL69" s="31">
        <f t="shared" si="100"/>
        <v>276</v>
      </c>
      <c r="AM69" s="52">
        <f>+(0)+(30)+(0)+(0)+(30)+(0)</f>
        <v>60</v>
      </c>
      <c r="AN69" s="52">
        <f>+(0)+(0)+(0)+(0)+(0)+(0)</f>
        <v>0</v>
      </c>
      <c r="AO69" s="72">
        <v>150</v>
      </c>
      <c r="AP69" s="74">
        <f t="shared" si="101"/>
        <v>186</v>
      </c>
      <c r="AQ69" s="76">
        <f>+(0)+(0)+(0)+(0)+(78)+(0)</f>
        <v>78</v>
      </c>
      <c r="AR69" s="76">
        <f t="shared" si="49"/>
        <v>0</v>
      </c>
      <c r="AS69" s="74">
        <v>150</v>
      </c>
      <c r="AT69" s="74">
        <f t="shared" si="102"/>
        <v>114</v>
      </c>
      <c r="AU69" s="73">
        <f t="shared" ref="AU69:AU390" si="104">+(0)+(0)+(0)+(0)</f>
        <v>0</v>
      </c>
      <c r="AV69" s="73">
        <f>+(0)+(0)+(0)+(54.6)+(0)+(0)+(0)+(0)</f>
        <v>54.6</v>
      </c>
      <c r="AW69" s="73">
        <v>150</v>
      </c>
      <c r="AX69" s="73">
        <f t="shared" ref="AX69:AX83" si="105">+AT69+AU69+AV69-AW69</f>
        <v>18.599999999999994</v>
      </c>
      <c r="AY69" s="109">
        <f>+(0)+(0)+(0)+(78)</f>
        <v>78</v>
      </c>
      <c r="AZ69" s="109">
        <f>+(0)+(0)+(0)+(0)+(0)+(30)+(0)+(30)</f>
        <v>60</v>
      </c>
      <c r="BA69" s="61">
        <v>150</v>
      </c>
      <c r="BB69" s="61">
        <f t="shared" si="77"/>
        <v>6.5999999999999943</v>
      </c>
      <c r="BD69" s="88">
        <v>0</v>
      </c>
      <c r="BE69" s="88">
        <v>0</v>
      </c>
      <c r="BF69" s="88">
        <v>0</v>
      </c>
      <c r="BG69" s="88">
        <v>0</v>
      </c>
      <c r="BH69" s="88">
        <v>0</v>
      </c>
      <c r="BI69" s="88">
        <v>0</v>
      </c>
      <c r="BJ69" s="88">
        <v>0</v>
      </c>
      <c r="BK69" s="88">
        <v>0</v>
      </c>
      <c r="BL69" s="88">
        <v>0</v>
      </c>
      <c r="BM69" s="88">
        <v>0</v>
      </c>
      <c r="BN69" s="88">
        <v>0</v>
      </c>
      <c r="BO69" s="88">
        <v>0</v>
      </c>
      <c r="BP69" s="210">
        <v>6.6</v>
      </c>
      <c r="BQ69" s="208">
        <f t="shared" si="6"/>
        <v>0</v>
      </c>
      <c r="BR69" s="175">
        <f t="shared" si="7"/>
        <v>1698.6</v>
      </c>
    </row>
    <row r="70" spans="1:70" ht="25.8" thickBot="1" x14ac:dyDescent="0.65">
      <c r="A70" s="64">
        <v>62</v>
      </c>
      <c r="B70" s="90" t="s">
        <v>52</v>
      </c>
      <c r="C70" s="91" t="s">
        <v>24</v>
      </c>
      <c r="D70" s="90" t="s">
        <v>131</v>
      </c>
      <c r="E70" s="92">
        <v>15</v>
      </c>
      <c r="F70" s="93">
        <f t="shared" si="69"/>
        <v>7999.9500000000007</v>
      </c>
      <c r="G70" s="93">
        <f t="shared" si="103"/>
        <v>2664</v>
      </c>
      <c r="H70" s="94">
        <f t="shared" si="84"/>
        <v>10663.95</v>
      </c>
      <c r="I70" s="95">
        <v>2</v>
      </c>
      <c r="J70" s="88">
        <v>2</v>
      </c>
      <c r="L70" s="100"/>
      <c r="M70" s="96"/>
      <c r="N70" s="97" t="s">
        <v>25</v>
      </c>
      <c r="W70" s="1" t="s">
        <v>52</v>
      </c>
      <c r="X70" s="50">
        <v>1410</v>
      </c>
      <c r="Y70" s="48">
        <v>120</v>
      </c>
      <c r="Z70" s="49">
        <v>96</v>
      </c>
      <c r="AA70" s="49">
        <v>120</v>
      </c>
      <c r="AB70" s="49">
        <v>78</v>
      </c>
      <c r="AC70" s="31">
        <v>78</v>
      </c>
      <c r="AD70" s="28">
        <f t="shared" si="98"/>
        <v>0</v>
      </c>
      <c r="AE70" s="52">
        <v>54</v>
      </c>
      <c r="AF70" s="52">
        <f>+(0)+(54)+(0)+(78)+(54)+(54)</f>
        <v>240</v>
      </c>
      <c r="AG70" s="49">
        <v>120</v>
      </c>
      <c r="AH70" s="22">
        <f t="shared" si="99"/>
        <v>174</v>
      </c>
      <c r="AI70" s="52">
        <f>+(0)+(0)+(0)+(0)+(78)+(0)</f>
        <v>78</v>
      </c>
      <c r="AJ70" s="52">
        <f>+(294)+(0)+(0)+(0)+(0)+(0)</f>
        <v>294</v>
      </c>
      <c r="AK70" s="49">
        <v>120</v>
      </c>
      <c r="AL70" s="31">
        <f t="shared" si="100"/>
        <v>426</v>
      </c>
      <c r="AM70" s="52">
        <f>+(0)+(0)+(0)+(0)+(30)+(0)</f>
        <v>30</v>
      </c>
      <c r="AN70" s="52">
        <f>+(0)+(96)+(0)+(0)+(108)+(0)</f>
        <v>204</v>
      </c>
      <c r="AO70" s="72">
        <v>120</v>
      </c>
      <c r="AP70" s="74">
        <f t="shared" si="101"/>
        <v>540</v>
      </c>
      <c r="AQ70" s="76">
        <f>+(0)+(0)+(0)+(0)+(54)+(0)</f>
        <v>54</v>
      </c>
      <c r="AR70" s="76">
        <f t="shared" si="49"/>
        <v>0</v>
      </c>
      <c r="AS70" s="74">
        <v>120</v>
      </c>
      <c r="AT70" s="74">
        <f t="shared" si="102"/>
        <v>474</v>
      </c>
      <c r="AU70" s="73">
        <f t="shared" si="104"/>
        <v>0</v>
      </c>
      <c r="AV70" s="73">
        <f>+(0)+(0)+(96)+(0)+(0)+(0)+(0)+(0)</f>
        <v>96</v>
      </c>
      <c r="AW70" s="73">
        <v>120</v>
      </c>
      <c r="AX70" s="73">
        <f t="shared" si="105"/>
        <v>450</v>
      </c>
      <c r="AY70" s="109">
        <f>+(0)+(0)+(0)+(0)</f>
        <v>0</v>
      </c>
      <c r="AZ70" s="109">
        <f>+(0)+(0)+(0)+(0)+(30)+(0)+(0)+(78)</f>
        <v>108</v>
      </c>
      <c r="BA70" s="61">
        <v>120</v>
      </c>
      <c r="BB70" s="61">
        <f t="shared" si="77"/>
        <v>438</v>
      </c>
      <c r="BD70" s="153">
        <v>30</v>
      </c>
      <c r="BE70" s="88">
        <v>0</v>
      </c>
      <c r="BF70" s="88">
        <v>0</v>
      </c>
      <c r="BG70" s="88">
        <v>0</v>
      </c>
      <c r="BH70" s="88">
        <v>0</v>
      </c>
      <c r="BI70" s="88">
        <v>0</v>
      </c>
      <c r="BJ70" s="88">
        <v>0</v>
      </c>
      <c r="BK70" s="88">
        <v>0</v>
      </c>
      <c r="BL70" s="88">
        <v>0</v>
      </c>
      <c r="BM70" s="88">
        <v>0</v>
      </c>
      <c r="BN70" s="88">
        <v>0</v>
      </c>
      <c r="BO70" s="88">
        <v>0</v>
      </c>
      <c r="BP70" s="210">
        <v>120</v>
      </c>
      <c r="BQ70" s="208">
        <f t="shared" si="6"/>
        <v>348</v>
      </c>
      <c r="BR70" s="175">
        <f t="shared" ref="BR70:BR131" si="106">SUM(X70:AA70)+AB70+AG70+AK70+AO70+AS70+AW70+BA70+BP70</f>
        <v>2664</v>
      </c>
    </row>
    <row r="71" spans="1:70" ht="25.8" thickBot="1" x14ac:dyDescent="0.65">
      <c r="A71" s="64">
        <v>63</v>
      </c>
      <c r="B71" s="181" t="s">
        <v>429</v>
      </c>
      <c r="C71" s="182" t="s">
        <v>23</v>
      </c>
      <c r="D71" s="183">
        <v>45313</v>
      </c>
      <c r="E71" s="184">
        <v>0</v>
      </c>
      <c r="F71" s="185">
        <f t="shared" ref="F71" si="107">+E71*$C$1</f>
        <v>0</v>
      </c>
      <c r="G71" s="185">
        <f t="shared" ref="G71" si="108">+BR71</f>
        <v>0</v>
      </c>
      <c r="H71" s="186">
        <f t="shared" ref="H71" si="109">+F71+G71</f>
        <v>0</v>
      </c>
      <c r="I71" s="187">
        <v>15</v>
      </c>
      <c r="J71" s="88">
        <v>15</v>
      </c>
      <c r="L71" s="180" t="s">
        <v>442</v>
      </c>
      <c r="M71" s="188"/>
      <c r="N71" s="189"/>
      <c r="W71" s="1" t="s">
        <v>429</v>
      </c>
      <c r="X71" s="50">
        <v>0</v>
      </c>
      <c r="Y71" s="48">
        <v>0</v>
      </c>
      <c r="Z71" s="49">
        <v>0</v>
      </c>
      <c r="AA71" s="49">
        <v>0</v>
      </c>
      <c r="AB71" s="49">
        <v>0</v>
      </c>
      <c r="AC71" s="31">
        <v>0</v>
      </c>
      <c r="AD71" s="28">
        <f t="shared" si="98"/>
        <v>0</v>
      </c>
      <c r="AE71" s="52">
        <v>0</v>
      </c>
      <c r="AF71" s="52">
        <v>0</v>
      </c>
      <c r="AG71" s="49">
        <v>0</v>
      </c>
      <c r="AH71" s="22">
        <f t="shared" si="99"/>
        <v>0</v>
      </c>
      <c r="AI71" s="52">
        <v>0</v>
      </c>
      <c r="AJ71" s="52">
        <v>0</v>
      </c>
      <c r="AK71" s="49">
        <v>0</v>
      </c>
      <c r="AL71" s="31">
        <f t="shared" si="100"/>
        <v>0</v>
      </c>
      <c r="AM71" s="52">
        <v>0</v>
      </c>
      <c r="AN71" s="52">
        <v>0</v>
      </c>
      <c r="AO71" s="72">
        <v>0</v>
      </c>
      <c r="AP71" s="74">
        <f t="shared" si="101"/>
        <v>0</v>
      </c>
      <c r="AQ71" s="76">
        <v>0</v>
      </c>
      <c r="AR71" s="76">
        <v>0</v>
      </c>
      <c r="AS71" s="74">
        <v>0</v>
      </c>
      <c r="AT71" s="74">
        <f t="shared" si="102"/>
        <v>0</v>
      </c>
      <c r="AU71" s="73">
        <f t="shared" si="104"/>
        <v>0</v>
      </c>
      <c r="AV71" s="73">
        <f t="shared" ref="AV71:AV390" si="110">+(0)+(0)+(0)+(0)+(0)+(0)+(0)+(0)</f>
        <v>0</v>
      </c>
      <c r="AW71" s="73">
        <v>0</v>
      </c>
      <c r="AX71" s="73">
        <f t="shared" si="105"/>
        <v>0</v>
      </c>
      <c r="AY71" s="109">
        <f>+(0)+(0)+(0)+(0)</f>
        <v>0</v>
      </c>
      <c r="AZ71" s="109">
        <f t="shared" ref="AZ71:AZ402" si="111">+(0)+(0)+(0)+(0)+(0)+(0)+(0)+(0)</f>
        <v>0</v>
      </c>
      <c r="BA71" s="61">
        <v>0</v>
      </c>
      <c r="BB71" s="61">
        <f t="shared" si="77"/>
        <v>0</v>
      </c>
      <c r="BD71" s="88">
        <v>0</v>
      </c>
      <c r="BE71" s="88">
        <v>0</v>
      </c>
      <c r="BF71" s="88">
        <v>0</v>
      </c>
      <c r="BG71" s="88">
        <v>0</v>
      </c>
      <c r="BH71" s="88">
        <v>0</v>
      </c>
      <c r="BI71" s="88">
        <v>0</v>
      </c>
      <c r="BJ71" s="88">
        <v>0</v>
      </c>
      <c r="BK71" s="88">
        <v>0</v>
      </c>
      <c r="BL71" s="88">
        <v>0</v>
      </c>
      <c r="BM71" s="88">
        <v>0</v>
      </c>
      <c r="BN71" s="88">
        <v>0</v>
      </c>
      <c r="BO71" s="88">
        <v>0</v>
      </c>
      <c r="BP71" s="210">
        <v>0</v>
      </c>
      <c r="BQ71" s="208">
        <f t="shared" ref="BQ71:BQ132" si="112">+BB71+SUM(BD71:BG71)+SUM(BH71:BO71)-BP71</f>
        <v>0</v>
      </c>
      <c r="BR71" s="175">
        <f t="shared" si="106"/>
        <v>0</v>
      </c>
    </row>
    <row r="72" spans="1:70" ht="25.8" thickBot="1" x14ac:dyDescent="0.65">
      <c r="A72" s="64">
        <v>64</v>
      </c>
      <c r="B72" s="112" t="s">
        <v>470</v>
      </c>
      <c r="C72" s="113" t="s">
        <v>20</v>
      </c>
      <c r="D72" s="114">
        <v>45699</v>
      </c>
      <c r="E72" s="115">
        <v>1</v>
      </c>
      <c r="F72" s="116">
        <f t="shared" ref="F72" si="113">+E72*$C$1</f>
        <v>533.33000000000004</v>
      </c>
      <c r="G72" s="116">
        <f t="shared" ref="G72" si="114">+BR72</f>
        <v>300</v>
      </c>
      <c r="H72" s="117">
        <f t="shared" ref="H72" si="115">+F72+G72</f>
        <v>833.33</v>
      </c>
      <c r="I72" s="118">
        <v>15</v>
      </c>
      <c r="J72" s="88">
        <v>15</v>
      </c>
      <c r="L72" s="122">
        <v>46266</v>
      </c>
      <c r="M72" s="120"/>
      <c r="N72" s="121" t="str">
        <f t="shared" ref="N72:N80" ca="1" si="116">IF($B$2&lt;L72,"O.K.","A L E R T A ")</f>
        <v>O.K.</v>
      </c>
      <c r="W72" s="1" t="s">
        <v>470</v>
      </c>
      <c r="X72" s="50"/>
      <c r="Y72" s="48"/>
      <c r="Z72" s="49"/>
      <c r="AA72" s="49"/>
      <c r="AB72" s="49"/>
      <c r="AC72" s="31"/>
      <c r="AD72" s="28"/>
      <c r="AE72" s="52"/>
      <c r="AF72" s="52"/>
      <c r="AG72" s="49"/>
      <c r="AH72" s="22"/>
      <c r="AI72" s="52"/>
      <c r="AJ72" s="52"/>
      <c r="AK72" s="49"/>
      <c r="AL72" s="31"/>
      <c r="AM72" s="52"/>
      <c r="AN72" s="52"/>
      <c r="AO72" s="72"/>
      <c r="AP72" s="74"/>
      <c r="AQ72" s="76"/>
      <c r="AR72" s="76"/>
      <c r="AS72" s="74"/>
      <c r="AT72" s="74"/>
      <c r="AU72" s="73"/>
      <c r="AV72" s="73"/>
      <c r="AW72" s="73"/>
      <c r="AX72" s="73"/>
      <c r="AY72" s="109">
        <f>+(0)+(0)+(0)+(0)</f>
        <v>0</v>
      </c>
      <c r="AZ72" s="109">
        <f>+(0)+(0)+(282)+(0)+(0)+(0)+(108)+(0)</f>
        <v>390</v>
      </c>
      <c r="BA72" s="61">
        <v>150</v>
      </c>
      <c r="BB72" s="61">
        <f t="shared" ref="BB72" si="117">(AX72+AY72+AZ72)-BA72</f>
        <v>240</v>
      </c>
      <c r="BD72" s="153">
        <v>108</v>
      </c>
      <c r="BE72" s="88">
        <v>0</v>
      </c>
      <c r="BF72" s="88">
        <v>0</v>
      </c>
      <c r="BG72" s="88">
        <v>0</v>
      </c>
      <c r="BH72" s="88">
        <v>0</v>
      </c>
      <c r="BI72" s="88">
        <v>0</v>
      </c>
      <c r="BJ72" s="88">
        <v>0</v>
      </c>
      <c r="BK72" s="88">
        <v>0</v>
      </c>
      <c r="BL72" s="88">
        <v>0</v>
      </c>
      <c r="BM72" s="88">
        <v>0</v>
      </c>
      <c r="BN72" s="88">
        <v>0</v>
      </c>
      <c r="BO72" s="88">
        <v>0</v>
      </c>
      <c r="BP72" s="210">
        <v>150</v>
      </c>
      <c r="BQ72" s="208">
        <f t="shared" si="112"/>
        <v>198</v>
      </c>
      <c r="BR72" s="175">
        <f t="shared" si="106"/>
        <v>300</v>
      </c>
    </row>
    <row r="73" spans="1:70" ht="25.8" thickBot="1" x14ac:dyDescent="0.65">
      <c r="A73" s="64">
        <v>65</v>
      </c>
      <c r="B73" s="181" t="s">
        <v>54</v>
      </c>
      <c r="C73" s="182" t="s">
        <v>20</v>
      </c>
      <c r="D73" s="181" t="s">
        <v>9</v>
      </c>
      <c r="E73" s="184">
        <v>9</v>
      </c>
      <c r="F73" s="185">
        <f t="shared" si="69"/>
        <v>4799.97</v>
      </c>
      <c r="G73" s="185">
        <f t="shared" si="103"/>
        <v>1956</v>
      </c>
      <c r="H73" s="186">
        <f t="shared" si="84"/>
        <v>6755.97</v>
      </c>
      <c r="I73" s="187">
        <v>7</v>
      </c>
      <c r="J73" s="88">
        <v>7</v>
      </c>
      <c r="K73" s="134" t="s">
        <v>307</v>
      </c>
      <c r="L73" s="199">
        <v>46696</v>
      </c>
      <c r="M73" s="191"/>
      <c r="N73" s="189" t="str">
        <f t="shared" ca="1" si="116"/>
        <v>O.K.</v>
      </c>
      <c r="W73" s="1" t="s">
        <v>54</v>
      </c>
      <c r="X73" s="50">
        <v>1350</v>
      </c>
      <c r="Y73" s="48">
        <v>150</v>
      </c>
      <c r="Z73" s="49">
        <v>150</v>
      </c>
      <c r="AA73" s="49">
        <v>150</v>
      </c>
      <c r="AB73" s="49">
        <v>0</v>
      </c>
      <c r="AC73" s="31">
        <v>0</v>
      </c>
      <c r="AD73" s="28">
        <f t="shared" ref="AD73:AD79" si="118">+AC73-AB73</f>
        <v>0</v>
      </c>
      <c r="AE73" s="52">
        <v>0</v>
      </c>
      <c r="AF73" s="52">
        <f>+(0)+(156)+(0)+(0)+(0)+(0)</f>
        <v>156</v>
      </c>
      <c r="AG73" s="49">
        <v>150</v>
      </c>
      <c r="AH73" s="22">
        <f t="shared" ref="AH73:AH79" si="119">+AD73+(AE73+AF73)-AG73</f>
        <v>6</v>
      </c>
      <c r="AI73" s="52">
        <f t="shared" si="47"/>
        <v>0</v>
      </c>
      <c r="AJ73" s="52">
        <f t="shared" si="47"/>
        <v>0</v>
      </c>
      <c r="AK73" s="49">
        <v>6</v>
      </c>
      <c r="AL73" s="31">
        <f t="shared" ref="AL73:AL79" si="120">+AH73+AI73+AJ73-AK73</f>
        <v>0</v>
      </c>
      <c r="AM73" s="52">
        <f t="shared" si="48"/>
        <v>0</v>
      </c>
      <c r="AN73" s="52">
        <f t="shared" si="48"/>
        <v>0</v>
      </c>
      <c r="AO73" s="72">
        <v>0</v>
      </c>
      <c r="AP73" s="74">
        <f t="shared" ref="AP73:AP79" si="121">+AL73+AM73+AN73-AO73</f>
        <v>0</v>
      </c>
      <c r="AQ73" s="76">
        <f t="shared" si="49"/>
        <v>0</v>
      </c>
      <c r="AR73" s="76">
        <f t="shared" si="49"/>
        <v>0</v>
      </c>
      <c r="AS73" s="74">
        <v>0</v>
      </c>
      <c r="AT73" s="74">
        <f t="shared" ref="AT73:AT79" si="122">+AP73+AQ73+AR73-AS73</f>
        <v>0</v>
      </c>
      <c r="AU73" s="73">
        <f t="shared" si="104"/>
        <v>0</v>
      </c>
      <c r="AV73" s="73">
        <f t="shared" si="110"/>
        <v>0</v>
      </c>
      <c r="AW73" s="73">
        <v>0</v>
      </c>
      <c r="AX73" s="73">
        <f t="shared" si="105"/>
        <v>0</v>
      </c>
      <c r="AY73" s="109">
        <f t="shared" ref="AY73:AY402" si="123">+(0)+(0)+(0)+(0)</f>
        <v>0</v>
      </c>
      <c r="AZ73" s="109">
        <f t="shared" si="111"/>
        <v>0</v>
      </c>
      <c r="BA73" s="61">
        <v>0</v>
      </c>
      <c r="BB73" s="61">
        <f t="shared" si="77"/>
        <v>0</v>
      </c>
      <c r="BD73" s="88">
        <v>0</v>
      </c>
      <c r="BE73" s="88">
        <v>0</v>
      </c>
      <c r="BF73" s="88">
        <v>0</v>
      </c>
      <c r="BG73" s="88">
        <v>0</v>
      </c>
      <c r="BH73" s="88">
        <v>0</v>
      </c>
      <c r="BI73" s="88">
        <v>0</v>
      </c>
      <c r="BJ73" s="88">
        <v>0</v>
      </c>
      <c r="BK73" s="88">
        <v>0</v>
      </c>
      <c r="BL73" s="88">
        <v>0</v>
      </c>
      <c r="BM73" s="88">
        <v>0</v>
      </c>
      <c r="BN73" s="88">
        <v>0</v>
      </c>
      <c r="BO73" s="88">
        <v>0</v>
      </c>
      <c r="BP73" s="210">
        <v>0</v>
      </c>
      <c r="BQ73" s="208">
        <f t="shared" si="112"/>
        <v>0</v>
      </c>
      <c r="BR73" s="175">
        <f t="shared" si="106"/>
        <v>1956</v>
      </c>
    </row>
    <row r="74" spans="1:70" ht="25.8" thickBot="1" x14ac:dyDescent="0.65">
      <c r="A74" s="64">
        <v>66</v>
      </c>
      <c r="B74" s="166" t="s">
        <v>55</v>
      </c>
      <c r="C74" s="156" t="s">
        <v>171</v>
      </c>
      <c r="D74" s="172" t="s">
        <v>127</v>
      </c>
      <c r="E74" s="168">
        <v>6</v>
      </c>
      <c r="F74" s="160">
        <f t="shared" si="69"/>
        <v>3199.9800000000005</v>
      </c>
      <c r="G74" s="160">
        <f t="shared" si="103"/>
        <v>1542</v>
      </c>
      <c r="H74" s="161">
        <f t="shared" si="84"/>
        <v>4741.9800000000005</v>
      </c>
      <c r="I74" s="162">
        <v>9</v>
      </c>
      <c r="J74" s="88">
        <v>9</v>
      </c>
      <c r="L74" s="169">
        <v>46604</v>
      </c>
      <c r="M74" s="164"/>
      <c r="N74" s="165" t="str">
        <f t="shared" ca="1" si="116"/>
        <v>O.K.</v>
      </c>
      <c r="W74" s="1" t="s">
        <v>55</v>
      </c>
      <c r="X74" s="50">
        <v>270</v>
      </c>
      <c r="Y74" s="48">
        <v>96</v>
      </c>
      <c r="Z74" s="49">
        <v>96</v>
      </c>
      <c r="AA74" s="49">
        <v>120</v>
      </c>
      <c r="AB74" s="49">
        <v>120</v>
      </c>
      <c r="AC74" s="31">
        <v>156</v>
      </c>
      <c r="AD74" s="28">
        <f t="shared" si="118"/>
        <v>36</v>
      </c>
      <c r="AE74" s="52">
        <v>156</v>
      </c>
      <c r="AF74" s="52">
        <f>+(0)+(156)+(0)+(0)+(54)+(54)</f>
        <v>264</v>
      </c>
      <c r="AG74" s="49">
        <v>120</v>
      </c>
      <c r="AH74" s="22">
        <f t="shared" si="119"/>
        <v>336</v>
      </c>
      <c r="AI74" s="52">
        <f t="shared" si="47"/>
        <v>0</v>
      </c>
      <c r="AJ74" s="52">
        <f>+(264)+(0)+(78)+(0)+(0)+(0)</f>
        <v>342</v>
      </c>
      <c r="AK74" s="49">
        <v>120</v>
      </c>
      <c r="AL74" s="31">
        <f t="shared" si="120"/>
        <v>558</v>
      </c>
      <c r="AM74" s="52">
        <f t="shared" si="48"/>
        <v>0</v>
      </c>
      <c r="AN74" s="52">
        <f>+(0)+(78)+(0)+(0)+(0)+(0)</f>
        <v>78</v>
      </c>
      <c r="AO74" s="72">
        <v>120</v>
      </c>
      <c r="AP74" s="74">
        <f t="shared" si="121"/>
        <v>516</v>
      </c>
      <c r="AQ74" s="76">
        <f t="shared" si="49"/>
        <v>0</v>
      </c>
      <c r="AR74" s="76">
        <f t="shared" si="49"/>
        <v>0</v>
      </c>
      <c r="AS74" s="74">
        <v>120</v>
      </c>
      <c r="AT74" s="74">
        <f t="shared" si="122"/>
        <v>396</v>
      </c>
      <c r="AU74" s="73">
        <f>+(0)+(0)+(0)+(121.8)</f>
        <v>121.8</v>
      </c>
      <c r="AV74" s="73">
        <f>+(0)+(0)+(96)+(0)+(0)+(0)+(0)+(0)</f>
        <v>96</v>
      </c>
      <c r="AW74" s="73">
        <v>120</v>
      </c>
      <c r="AX74" s="73">
        <f t="shared" si="105"/>
        <v>493.79999999999995</v>
      </c>
      <c r="AY74" s="109">
        <f>+(0)+(30)+(0)+(0)</f>
        <v>30</v>
      </c>
      <c r="AZ74" s="109">
        <f>+(0)+(0)+(0)+(0)+(0)+(0)+(88.2)+(0)</f>
        <v>88.2</v>
      </c>
      <c r="BA74" s="61">
        <v>120</v>
      </c>
      <c r="BB74" s="61">
        <f t="shared" si="77"/>
        <v>492</v>
      </c>
      <c r="BD74" s="88">
        <v>0</v>
      </c>
      <c r="BE74" s="88">
        <v>0</v>
      </c>
      <c r="BF74" s="88">
        <v>0</v>
      </c>
      <c r="BG74" s="88">
        <v>0</v>
      </c>
      <c r="BH74" s="88">
        <v>0</v>
      </c>
      <c r="BI74" s="88">
        <v>0</v>
      </c>
      <c r="BJ74" s="88">
        <v>0</v>
      </c>
      <c r="BK74" s="88">
        <v>0</v>
      </c>
      <c r="BL74" s="88">
        <v>0</v>
      </c>
      <c r="BM74" s="88">
        <v>0</v>
      </c>
      <c r="BN74" s="88">
        <v>0</v>
      </c>
      <c r="BO74" s="88">
        <v>0</v>
      </c>
      <c r="BP74" s="210">
        <v>120</v>
      </c>
      <c r="BQ74" s="208">
        <f t="shared" si="112"/>
        <v>372</v>
      </c>
      <c r="BR74" s="175">
        <f t="shared" si="106"/>
        <v>1542</v>
      </c>
    </row>
    <row r="75" spans="1:70" ht="25.8" thickBot="1" x14ac:dyDescent="0.65">
      <c r="A75" s="64">
        <v>67</v>
      </c>
      <c r="B75" s="112" t="s">
        <v>258</v>
      </c>
      <c r="C75" s="113" t="s">
        <v>21</v>
      </c>
      <c r="D75" s="123">
        <v>43497</v>
      </c>
      <c r="E75" s="115">
        <v>3</v>
      </c>
      <c r="F75" s="116">
        <f t="shared" si="69"/>
        <v>1599.9900000000002</v>
      </c>
      <c r="G75" s="116">
        <f t="shared" si="103"/>
        <v>1518</v>
      </c>
      <c r="H75" s="117">
        <f t="shared" si="84"/>
        <v>3117.9900000000002</v>
      </c>
      <c r="I75" s="118">
        <v>12</v>
      </c>
      <c r="J75" s="88">
        <v>12</v>
      </c>
      <c r="L75" s="122">
        <v>46296</v>
      </c>
      <c r="M75" s="120"/>
      <c r="N75" s="121" t="str">
        <f t="shared" ca="1" si="116"/>
        <v>O.K.</v>
      </c>
      <c r="W75" s="1" t="s">
        <v>258</v>
      </c>
      <c r="X75" s="50">
        <v>318</v>
      </c>
      <c r="Y75" s="48">
        <v>0</v>
      </c>
      <c r="Z75" s="49">
        <v>0</v>
      </c>
      <c r="AA75" s="49">
        <v>0</v>
      </c>
      <c r="AB75" s="49">
        <v>150</v>
      </c>
      <c r="AC75" s="31">
        <v>330.6</v>
      </c>
      <c r="AD75" s="28">
        <f t="shared" si="118"/>
        <v>180.60000000000002</v>
      </c>
      <c r="AE75" s="52">
        <v>132</v>
      </c>
      <c r="AF75" s="52">
        <f>+(0)+(78)+(0)+(0)+(54)+(162)</f>
        <v>294</v>
      </c>
      <c r="AG75" s="49">
        <v>150</v>
      </c>
      <c r="AH75" s="22">
        <f t="shared" si="119"/>
        <v>456.6</v>
      </c>
      <c r="AI75" s="52">
        <f>+(0)+(0)+(0)+(0)+(138)+(0)</f>
        <v>138</v>
      </c>
      <c r="AJ75" s="52">
        <f>+(132.6)+(108)+(0)+(0)+(0)+(0)</f>
        <v>240.6</v>
      </c>
      <c r="AK75" s="49">
        <v>150</v>
      </c>
      <c r="AL75" s="31">
        <f t="shared" si="120"/>
        <v>685.2</v>
      </c>
      <c r="AM75" s="52">
        <f t="shared" si="48"/>
        <v>0</v>
      </c>
      <c r="AN75" s="52">
        <f>+(0)+(30)+(120)+(0)+(0)+(96)</f>
        <v>246</v>
      </c>
      <c r="AO75" s="72">
        <v>150</v>
      </c>
      <c r="AP75" s="74">
        <f t="shared" si="121"/>
        <v>781.2</v>
      </c>
      <c r="AQ75" s="76">
        <f>+(108)+(0)+(0)+(0)+(54)+(0)</f>
        <v>162</v>
      </c>
      <c r="AR75" s="76">
        <f t="shared" si="49"/>
        <v>0</v>
      </c>
      <c r="AS75" s="74">
        <v>150</v>
      </c>
      <c r="AT75" s="74">
        <f t="shared" si="122"/>
        <v>793.2</v>
      </c>
      <c r="AU75" s="73">
        <f t="shared" si="104"/>
        <v>0</v>
      </c>
      <c r="AV75" s="73">
        <f>+(120)+(0)+(0)+(0)+(0)+(0)+(75.6)+(0)</f>
        <v>195.6</v>
      </c>
      <c r="AW75" s="73">
        <v>150</v>
      </c>
      <c r="AX75" s="73">
        <f t="shared" si="105"/>
        <v>838.80000000000007</v>
      </c>
      <c r="AY75" s="109">
        <f t="shared" si="123"/>
        <v>0</v>
      </c>
      <c r="AZ75" s="109">
        <f t="shared" si="111"/>
        <v>0</v>
      </c>
      <c r="BA75" s="61">
        <v>150</v>
      </c>
      <c r="BB75" s="61">
        <f t="shared" si="77"/>
        <v>688.80000000000007</v>
      </c>
      <c r="BD75" s="88">
        <v>0</v>
      </c>
      <c r="BE75" s="88">
        <v>0</v>
      </c>
      <c r="BF75" s="88">
        <v>0</v>
      </c>
      <c r="BG75" s="88">
        <v>0</v>
      </c>
      <c r="BH75" s="88">
        <v>0</v>
      </c>
      <c r="BI75" s="88">
        <v>0</v>
      </c>
      <c r="BJ75" s="88">
        <v>0</v>
      </c>
      <c r="BK75" s="88">
        <v>0</v>
      </c>
      <c r="BL75" s="88">
        <v>0</v>
      </c>
      <c r="BM75" s="88">
        <v>0</v>
      </c>
      <c r="BN75" s="88">
        <v>0</v>
      </c>
      <c r="BO75" s="88">
        <v>0</v>
      </c>
      <c r="BP75" s="210">
        <v>150</v>
      </c>
      <c r="BQ75" s="208">
        <f t="shared" si="112"/>
        <v>538.80000000000007</v>
      </c>
      <c r="BR75" s="175">
        <f t="shared" si="106"/>
        <v>1518</v>
      </c>
    </row>
    <row r="76" spans="1:70" ht="25.8" thickBot="1" x14ac:dyDescent="0.65">
      <c r="A76" s="64">
        <v>68</v>
      </c>
      <c r="B76" s="112" t="s">
        <v>240</v>
      </c>
      <c r="C76" s="113" t="s">
        <v>20</v>
      </c>
      <c r="D76" s="123">
        <v>43282</v>
      </c>
      <c r="E76" s="115">
        <v>3</v>
      </c>
      <c r="F76" s="116">
        <f t="shared" si="69"/>
        <v>1599.9900000000002</v>
      </c>
      <c r="G76" s="116">
        <f t="shared" si="103"/>
        <v>1296</v>
      </c>
      <c r="H76" s="117">
        <f t="shared" si="84"/>
        <v>2895.9900000000002</v>
      </c>
      <c r="I76" s="118">
        <v>12</v>
      </c>
      <c r="J76" s="88">
        <v>12</v>
      </c>
      <c r="L76" s="122">
        <v>46204</v>
      </c>
      <c r="M76" s="120"/>
      <c r="N76" s="121" t="str">
        <f t="shared" ca="1" si="116"/>
        <v>O.K.</v>
      </c>
      <c r="W76" s="1" t="s">
        <v>240</v>
      </c>
      <c r="X76" s="50">
        <v>0</v>
      </c>
      <c r="Y76" s="48">
        <v>0</v>
      </c>
      <c r="Z76" s="49">
        <v>0</v>
      </c>
      <c r="AA76" s="49">
        <v>96</v>
      </c>
      <c r="AB76" s="49">
        <v>150</v>
      </c>
      <c r="AC76" s="31">
        <v>264</v>
      </c>
      <c r="AD76" s="28">
        <f t="shared" si="118"/>
        <v>114</v>
      </c>
      <c r="AE76" s="52">
        <f>67.2+54</f>
        <v>121.2</v>
      </c>
      <c r="AF76" s="52">
        <f>+(0)+(0)+(0)+(0)+(54)+(162)</f>
        <v>216</v>
      </c>
      <c r="AG76" s="49">
        <v>150</v>
      </c>
      <c r="AH76" s="22">
        <f t="shared" si="119"/>
        <v>301.2</v>
      </c>
      <c r="AI76" s="52">
        <f t="shared" si="47"/>
        <v>0</v>
      </c>
      <c r="AJ76" s="52">
        <f>+(0)+(0)+(0)+(0)+(108)+(0)</f>
        <v>108</v>
      </c>
      <c r="AK76" s="49">
        <v>150</v>
      </c>
      <c r="AL76" s="31">
        <f t="shared" si="120"/>
        <v>259.2</v>
      </c>
      <c r="AM76" s="52">
        <f>+(0)+(0)+(108)+(0)+(0)+(0)</f>
        <v>108</v>
      </c>
      <c r="AN76" s="52">
        <f>+(0)+(0)+(0)+(0)+(0)+(267)</f>
        <v>267</v>
      </c>
      <c r="AO76" s="72">
        <v>150</v>
      </c>
      <c r="AP76" s="74">
        <f t="shared" si="121"/>
        <v>484.20000000000005</v>
      </c>
      <c r="AQ76" s="76">
        <f>+(108)+(0)+(0)+(0)+(54)+(0)</f>
        <v>162</v>
      </c>
      <c r="AR76" s="76">
        <f>+(0)+(54.6)+(0)+(0)+(0)+(0)</f>
        <v>54.6</v>
      </c>
      <c r="AS76" s="74">
        <v>150</v>
      </c>
      <c r="AT76" s="74">
        <f t="shared" si="122"/>
        <v>550.80000000000007</v>
      </c>
      <c r="AU76" s="73">
        <f>+(0)+(0)+(96)+(192)</f>
        <v>288</v>
      </c>
      <c r="AV76" s="73">
        <f>+(0)+(78)+(0)+(0)+(0)+(0)+(108)+(0)</f>
        <v>186</v>
      </c>
      <c r="AW76" s="73">
        <v>150</v>
      </c>
      <c r="AX76" s="73">
        <f t="shared" si="105"/>
        <v>874.80000000000018</v>
      </c>
      <c r="AY76" s="109">
        <f>+(0)+(0)+(0)+(210.6)</f>
        <v>210.6</v>
      </c>
      <c r="AZ76" s="109">
        <f>+(0)+(96)+(145.2)+(0)+(30)+(0)+(186)+(120)</f>
        <v>577.20000000000005</v>
      </c>
      <c r="BA76" s="61">
        <v>150</v>
      </c>
      <c r="BB76" s="61">
        <f t="shared" si="77"/>
        <v>1512.6000000000001</v>
      </c>
      <c r="BD76" s="88">
        <v>0</v>
      </c>
      <c r="BE76" s="153">
        <v>78</v>
      </c>
      <c r="BF76" s="88">
        <v>0</v>
      </c>
      <c r="BG76" s="88">
        <v>0</v>
      </c>
      <c r="BH76" s="88">
        <v>0</v>
      </c>
      <c r="BI76" s="88">
        <v>0</v>
      </c>
      <c r="BJ76" s="88">
        <v>0</v>
      </c>
      <c r="BK76" s="88">
        <v>0</v>
      </c>
      <c r="BL76" s="88">
        <v>0</v>
      </c>
      <c r="BM76" s="88">
        <v>0</v>
      </c>
      <c r="BN76" s="88">
        <v>0</v>
      </c>
      <c r="BO76" s="88">
        <v>0</v>
      </c>
      <c r="BP76" s="210">
        <v>150</v>
      </c>
      <c r="BQ76" s="208">
        <f t="shared" si="112"/>
        <v>1440.6000000000001</v>
      </c>
      <c r="BR76" s="175">
        <f t="shared" si="106"/>
        <v>1296</v>
      </c>
    </row>
    <row r="77" spans="1:70" ht="25.8" thickBot="1" x14ac:dyDescent="0.65">
      <c r="A77" s="64">
        <v>69</v>
      </c>
      <c r="B77" s="112" t="s">
        <v>416</v>
      </c>
      <c r="C77" s="113" t="s">
        <v>23</v>
      </c>
      <c r="D77" s="123">
        <v>45195</v>
      </c>
      <c r="E77" s="115">
        <v>2</v>
      </c>
      <c r="F77" s="116">
        <f t="shared" ref="F77" si="124">+E77*$C$1</f>
        <v>1066.6600000000001</v>
      </c>
      <c r="G77" s="116">
        <f t="shared" ref="G77" si="125">+BR77</f>
        <v>1778.4</v>
      </c>
      <c r="H77" s="117">
        <f t="shared" ref="H77" si="126">+F77+G77</f>
        <v>2845.0600000000004</v>
      </c>
      <c r="I77" s="118">
        <v>12</v>
      </c>
      <c r="J77" s="88">
        <v>12</v>
      </c>
      <c r="L77" s="122">
        <v>46291</v>
      </c>
      <c r="M77" s="120"/>
      <c r="N77" s="121" t="str">
        <f t="shared" ca="1" si="116"/>
        <v>O.K.</v>
      </c>
      <c r="W77" s="1" t="s">
        <v>416</v>
      </c>
      <c r="X77" s="68">
        <v>1418.4</v>
      </c>
      <c r="Y77" s="48">
        <v>0</v>
      </c>
      <c r="Z77" s="49">
        <v>0</v>
      </c>
      <c r="AA77" s="49">
        <v>0</v>
      </c>
      <c r="AB77" s="49">
        <v>0</v>
      </c>
      <c r="AC77" s="31">
        <v>0</v>
      </c>
      <c r="AD77" s="28">
        <f t="shared" si="118"/>
        <v>0</v>
      </c>
      <c r="AE77" s="52">
        <v>0</v>
      </c>
      <c r="AF77" s="52">
        <v>0</v>
      </c>
      <c r="AG77" s="49">
        <v>0</v>
      </c>
      <c r="AH77" s="22">
        <f t="shared" si="119"/>
        <v>0</v>
      </c>
      <c r="AI77" s="52">
        <v>0</v>
      </c>
      <c r="AJ77" s="52">
        <v>0</v>
      </c>
      <c r="AK77" s="49">
        <v>0</v>
      </c>
      <c r="AL77" s="31">
        <f t="shared" si="120"/>
        <v>0</v>
      </c>
      <c r="AM77" s="52">
        <v>0</v>
      </c>
      <c r="AN77" s="52">
        <v>0</v>
      </c>
      <c r="AO77" s="72">
        <v>0</v>
      </c>
      <c r="AP77" s="74">
        <f t="shared" si="121"/>
        <v>0</v>
      </c>
      <c r="AQ77" s="76">
        <v>0</v>
      </c>
      <c r="AR77" s="76">
        <v>0</v>
      </c>
      <c r="AS77" s="74">
        <v>0</v>
      </c>
      <c r="AT77" s="74">
        <f t="shared" si="122"/>
        <v>0</v>
      </c>
      <c r="AU77" s="73">
        <f>+(0)+(0)+(126)+(129)</f>
        <v>255</v>
      </c>
      <c r="AV77" s="73">
        <f>+(0)+(0)+(0)+(0)+(0)+(0)+(21)+(92.4)</f>
        <v>113.4</v>
      </c>
      <c r="AW77" s="74">
        <v>120</v>
      </c>
      <c r="AX77" s="74">
        <f t="shared" si="105"/>
        <v>248.39999999999998</v>
      </c>
      <c r="AY77" s="109">
        <f>+(0)+(192)+(0)+(379.8)</f>
        <v>571.79999999999995</v>
      </c>
      <c r="AZ77" s="109">
        <f>+(0)+(0)+(0)+(0)+(61.2)+(21)+(195)+(156)</f>
        <v>433.2</v>
      </c>
      <c r="BA77" s="61">
        <v>120</v>
      </c>
      <c r="BB77" s="61">
        <f t="shared" si="77"/>
        <v>1133.3999999999999</v>
      </c>
      <c r="BD77" s="153">
        <v>108.6</v>
      </c>
      <c r="BE77" s="88">
        <v>0</v>
      </c>
      <c r="BF77" s="88">
        <v>0</v>
      </c>
      <c r="BG77" s="88">
        <v>0</v>
      </c>
      <c r="BH77" s="88">
        <v>0</v>
      </c>
      <c r="BI77" s="88">
        <v>0</v>
      </c>
      <c r="BJ77" s="88">
        <v>0</v>
      </c>
      <c r="BK77" s="88">
        <v>0</v>
      </c>
      <c r="BL77" s="88">
        <v>0</v>
      </c>
      <c r="BM77" s="88">
        <v>0</v>
      </c>
      <c r="BN77" s="88">
        <v>0</v>
      </c>
      <c r="BO77" s="88">
        <v>0</v>
      </c>
      <c r="BP77" s="210">
        <v>120</v>
      </c>
      <c r="BQ77" s="208">
        <f t="shared" si="112"/>
        <v>1121.9999999999998</v>
      </c>
      <c r="BR77" s="175">
        <f t="shared" si="106"/>
        <v>1778.4</v>
      </c>
    </row>
    <row r="78" spans="1:70" ht="25.8" thickBot="1" x14ac:dyDescent="0.65">
      <c r="A78" s="64">
        <v>70</v>
      </c>
      <c r="B78" s="112" t="s">
        <v>318</v>
      </c>
      <c r="C78" s="113" t="s">
        <v>19</v>
      </c>
      <c r="D78" s="123">
        <v>43952</v>
      </c>
      <c r="E78" s="115">
        <v>2</v>
      </c>
      <c r="F78" s="116">
        <f t="shared" si="69"/>
        <v>1066.6600000000001</v>
      </c>
      <c r="G78" s="116">
        <f t="shared" si="103"/>
        <v>294.60000000000002</v>
      </c>
      <c r="H78" s="117">
        <f t="shared" si="84"/>
        <v>1361.2600000000002</v>
      </c>
      <c r="I78" s="118">
        <v>14</v>
      </c>
      <c r="J78" s="88">
        <v>14</v>
      </c>
      <c r="L78" s="122">
        <v>46143</v>
      </c>
      <c r="M78" s="120"/>
      <c r="N78" s="121" t="str">
        <f t="shared" ca="1" si="116"/>
        <v>O.K.</v>
      </c>
      <c r="W78" s="1" t="s">
        <v>318</v>
      </c>
      <c r="X78" s="50">
        <v>0</v>
      </c>
      <c r="Y78" s="48">
        <v>0</v>
      </c>
      <c r="Z78" s="49">
        <v>0</v>
      </c>
      <c r="AA78" s="49">
        <v>0</v>
      </c>
      <c r="AB78" s="49">
        <v>0</v>
      </c>
      <c r="AC78" s="31">
        <v>0</v>
      </c>
      <c r="AD78" s="28">
        <f t="shared" si="118"/>
        <v>0</v>
      </c>
      <c r="AE78" s="52">
        <v>0</v>
      </c>
      <c r="AF78" s="52">
        <f>+(0)+(0)+(0)+(0)+(54)+(108)</f>
        <v>162</v>
      </c>
      <c r="AG78" s="49">
        <v>120</v>
      </c>
      <c r="AH78" s="22">
        <f t="shared" si="119"/>
        <v>42</v>
      </c>
      <c r="AI78" s="52">
        <f t="shared" si="47"/>
        <v>0</v>
      </c>
      <c r="AJ78" s="52">
        <f t="shared" si="47"/>
        <v>0</v>
      </c>
      <c r="AK78" s="49">
        <v>42</v>
      </c>
      <c r="AL78" s="31">
        <f t="shared" si="120"/>
        <v>0</v>
      </c>
      <c r="AM78" s="52">
        <f t="shared" si="48"/>
        <v>0</v>
      </c>
      <c r="AN78" s="52">
        <f t="shared" si="48"/>
        <v>0</v>
      </c>
      <c r="AO78" s="72">
        <v>0</v>
      </c>
      <c r="AP78" s="74">
        <f t="shared" si="121"/>
        <v>0</v>
      </c>
      <c r="AQ78" s="76">
        <f t="shared" si="49"/>
        <v>0</v>
      </c>
      <c r="AR78" s="76">
        <f t="shared" si="49"/>
        <v>0</v>
      </c>
      <c r="AS78" s="74">
        <v>0</v>
      </c>
      <c r="AT78" s="74">
        <f t="shared" si="122"/>
        <v>0</v>
      </c>
      <c r="AU78" s="73">
        <f>+(0)+(0)+(0)+(78)</f>
        <v>78</v>
      </c>
      <c r="AV78" s="73">
        <f>+(0)+(0)+(0)+(0)+(0)+(0)+(0)+(54.6)</f>
        <v>54.6</v>
      </c>
      <c r="AW78" s="74">
        <v>120</v>
      </c>
      <c r="AX78" s="74">
        <f t="shared" si="105"/>
        <v>12.599999999999994</v>
      </c>
      <c r="AY78" s="109">
        <f t="shared" si="123"/>
        <v>0</v>
      </c>
      <c r="AZ78" s="109">
        <f t="shared" si="111"/>
        <v>0</v>
      </c>
      <c r="BA78" s="61">
        <v>12.6</v>
      </c>
      <c r="BB78" s="61">
        <f t="shared" si="77"/>
        <v>0</v>
      </c>
      <c r="BD78" s="88">
        <v>0</v>
      </c>
      <c r="BE78" s="88">
        <v>0</v>
      </c>
      <c r="BF78" s="88">
        <v>0</v>
      </c>
      <c r="BG78" s="88">
        <v>0</v>
      </c>
      <c r="BH78" s="88">
        <v>0</v>
      </c>
      <c r="BI78" s="88">
        <v>0</v>
      </c>
      <c r="BJ78" s="88">
        <v>0</v>
      </c>
      <c r="BK78" s="88">
        <v>0</v>
      </c>
      <c r="BL78" s="88">
        <v>0</v>
      </c>
      <c r="BM78" s="88">
        <v>0</v>
      </c>
      <c r="BN78" s="88">
        <v>0</v>
      </c>
      <c r="BO78" s="88">
        <v>0</v>
      </c>
      <c r="BP78" s="210">
        <v>0</v>
      </c>
      <c r="BQ78" s="208">
        <f t="shared" si="112"/>
        <v>0</v>
      </c>
      <c r="BR78" s="175">
        <f t="shared" si="106"/>
        <v>294.60000000000002</v>
      </c>
    </row>
    <row r="79" spans="1:70" ht="25.8" thickBot="1" x14ac:dyDescent="0.65">
      <c r="A79" s="64">
        <v>71</v>
      </c>
      <c r="B79" s="112" t="s">
        <v>208</v>
      </c>
      <c r="C79" s="113" t="s">
        <v>20</v>
      </c>
      <c r="D79" s="123">
        <v>42625</v>
      </c>
      <c r="E79" s="115">
        <v>4</v>
      </c>
      <c r="F79" s="116">
        <f t="shared" si="69"/>
        <v>2133.3200000000002</v>
      </c>
      <c r="G79" s="116">
        <f t="shared" si="103"/>
        <v>1542</v>
      </c>
      <c r="H79" s="117">
        <f t="shared" si="84"/>
        <v>3675.32</v>
      </c>
      <c r="I79" s="118">
        <v>11</v>
      </c>
      <c r="J79" s="88">
        <v>11</v>
      </c>
      <c r="L79" s="122">
        <v>46277</v>
      </c>
      <c r="M79" s="120"/>
      <c r="N79" s="121" t="str">
        <f t="shared" ca="1" si="116"/>
        <v>O.K.</v>
      </c>
      <c r="W79" s="1" t="s">
        <v>208</v>
      </c>
      <c r="X79" s="50">
        <v>0</v>
      </c>
      <c r="Y79" s="48">
        <v>96</v>
      </c>
      <c r="Z79" s="49">
        <v>96</v>
      </c>
      <c r="AA79" s="49">
        <v>150</v>
      </c>
      <c r="AB79" s="49">
        <v>150</v>
      </c>
      <c r="AC79" s="31">
        <v>276</v>
      </c>
      <c r="AD79" s="28">
        <f t="shared" si="118"/>
        <v>126</v>
      </c>
      <c r="AE79" s="52">
        <f>132+54</f>
        <v>186</v>
      </c>
      <c r="AF79" s="52">
        <f>+(0)+(78)+(0)+(0)+(54)+(162)</f>
        <v>294</v>
      </c>
      <c r="AG79" s="49">
        <v>150</v>
      </c>
      <c r="AH79" s="22">
        <f t="shared" si="119"/>
        <v>456</v>
      </c>
      <c r="AI79" s="52">
        <f>+(0)+(0)+(0)+(0)+(198)+(0)</f>
        <v>198</v>
      </c>
      <c r="AJ79" s="52">
        <f>+(78)+(0)+(0)+(0)+(132)+(0)</f>
        <v>210</v>
      </c>
      <c r="AK79" s="49">
        <v>150</v>
      </c>
      <c r="AL79" s="31">
        <f t="shared" si="120"/>
        <v>714</v>
      </c>
      <c r="AM79" s="52">
        <f>+(0)+(120)+(0)+(0)+(0)+(0)</f>
        <v>120</v>
      </c>
      <c r="AN79" s="52">
        <f t="shared" si="48"/>
        <v>0</v>
      </c>
      <c r="AO79" s="72">
        <v>150</v>
      </c>
      <c r="AP79" s="74">
        <f t="shared" si="121"/>
        <v>684</v>
      </c>
      <c r="AQ79" s="76">
        <f>+(0)+(0)+(0)+(78)+(174)+(0)</f>
        <v>252</v>
      </c>
      <c r="AR79" s="76">
        <f>+(51)+(0)+(0)+(0)+(0)+(0)</f>
        <v>51</v>
      </c>
      <c r="AS79" s="74">
        <v>150</v>
      </c>
      <c r="AT79" s="74">
        <f t="shared" si="122"/>
        <v>837</v>
      </c>
      <c r="AU79" s="73">
        <f>+(216)+(0)+(30)+(300)</f>
        <v>546</v>
      </c>
      <c r="AV79" s="73">
        <f>+(0)+(0)+(0)+(0)+(0)+(132.6)+(0)+(0)</f>
        <v>132.6</v>
      </c>
      <c r="AW79" s="73">
        <v>150</v>
      </c>
      <c r="AX79" s="73">
        <f>+AT79+AU79+AV79-AW79</f>
        <v>1365.6</v>
      </c>
      <c r="AY79" s="109">
        <f>+(21)+(0)+(0)+(0)</f>
        <v>21</v>
      </c>
      <c r="AZ79" s="109">
        <f>+(30)+(0)+(96)+(0)+(60)+(216)+(108)+(0)</f>
        <v>510</v>
      </c>
      <c r="BA79" s="61">
        <v>150</v>
      </c>
      <c r="BB79" s="61">
        <f t="shared" si="77"/>
        <v>1746.6</v>
      </c>
      <c r="BD79" s="88">
        <v>0</v>
      </c>
      <c r="BE79" s="88">
        <v>0</v>
      </c>
      <c r="BF79" s="88">
        <v>0</v>
      </c>
      <c r="BG79" s="88">
        <v>0</v>
      </c>
      <c r="BH79" s="88">
        <v>0</v>
      </c>
      <c r="BI79" s="88">
        <v>0</v>
      </c>
      <c r="BJ79" s="88">
        <v>0</v>
      </c>
      <c r="BK79" s="88">
        <v>0</v>
      </c>
      <c r="BL79" s="88">
        <v>0</v>
      </c>
      <c r="BM79" s="88">
        <v>0</v>
      </c>
      <c r="BN79" s="88">
        <v>0</v>
      </c>
      <c r="BO79" s="88">
        <v>0</v>
      </c>
      <c r="BP79" s="210">
        <v>150</v>
      </c>
      <c r="BQ79" s="208">
        <f t="shared" si="112"/>
        <v>1596.6</v>
      </c>
      <c r="BR79" s="175">
        <f t="shared" si="106"/>
        <v>1542</v>
      </c>
    </row>
    <row r="80" spans="1:70" ht="25.8" thickBot="1" x14ac:dyDescent="0.65">
      <c r="A80" s="64">
        <v>72</v>
      </c>
      <c r="B80" s="166" t="s">
        <v>493</v>
      </c>
      <c r="C80" s="156" t="s">
        <v>171</v>
      </c>
      <c r="D80" s="170">
        <v>45800</v>
      </c>
      <c r="E80" s="168">
        <v>0</v>
      </c>
      <c r="F80" s="160">
        <f t="shared" si="69"/>
        <v>0</v>
      </c>
      <c r="G80" s="160">
        <f t="shared" ref="G80" si="127">+BR80</f>
        <v>0</v>
      </c>
      <c r="H80" s="161">
        <f t="shared" ref="H80" si="128">+F80+G80</f>
        <v>0</v>
      </c>
      <c r="I80" s="162">
        <v>15</v>
      </c>
      <c r="J80" s="88">
        <v>15</v>
      </c>
      <c r="L80" s="194">
        <v>46530</v>
      </c>
      <c r="M80" s="164"/>
      <c r="N80" s="165" t="str">
        <f t="shared" ca="1" si="116"/>
        <v>O.K.</v>
      </c>
      <c r="W80" s="1" t="s">
        <v>493</v>
      </c>
      <c r="X80" s="50"/>
      <c r="Y80" s="48"/>
      <c r="Z80" s="49"/>
      <c r="AA80" s="49"/>
      <c r="AB80" s="49"/>
      <c r="AC80" s="31"/>
      <c r="AD80" s="28"/>
      <c r="AE80" s="52"/>
      <c r="AF80" s="52"/>
      <c r="AG80" s="49"/>
      <c r="AH80" s="22"/>
      <c r="AI80" s="52"/>
      <c r="AJ80" s="52"/>
      <c r="AK80" s="49"/>
      <c r="AL80" s="31"/>
      <c r="AM80" s="52"/>
      <c r="AN80" s="52"/>
      <c r="AO80" s="72"/>
      <c r="AP80" s="74"/>
      <c r="AQ80" s="76"/>
      <c r="AR80" s="76"/>
      <c r="AS80" s="74"/>
      <c r="AT80" s="74"/>
      <c r="AU80" s="73"/>
      <c r="AV80" s="73"/>
      <c r="AW80" s="73"/>
      <c r="AX80" s="73"/>
      <c r="AY80" s="109">
        <f t="shared" si="123"/>
        <v>0</v>
      </c>
      <c r="AZ80" s="109">
        <f t="shared" si="111"/>
        <v>0</v>
      </c>
      <c r="BA80" s="61">
        <v>0</v>
      </c>
      <c r="BB80" s="61">
        <f t="shared" ref="BB80" si="129">(AX80+AY80+AZ80)-BA80</f>
        <v>0</v>
      </c>
      <c r="BD80" s="88">
        <v>0</v>
      </c>
      <c r="BE80" s="88">
        <v>0</v>
      </c>
      <c r="BF80" s="88">
        <v>0</v>
      </c>
      <c r="BG80" s="88">
        <v>0</v>
      </c>
      <c r="BH80" s="88">
        <v>0</v>
      </c>
      <c r="BI80" s="88">
        <v>0</v>
      </c>
      <c r="BJ80" s="88">
        <v>0</v>
      </c>
      <c r="BK80" s="88">
        <v>0</v>
      </c>
      <c r="BL80" s="88">
        <v>0</v>
      </c>
      <c r="BM80" s="88">
        <v>0</v>
      </c>
      <c r="BN80" s="88">
        <v>0</v>
      </c>
      <c r="BO80" s="88">
        <v>0</v>
      </c>
      <c r="BP80" s="210">
        <v>0</v>
      </c>
      <c r="BQ80" s="208">
        <f t="shared" si="112"/>
        <v>0</v>
      </c>
      <c r="BR80" s="175">
        <f t="shared" si="106"/>
        <v>0</v>
      </c>
    </row>
    <row r="81" spans="1:70" ht="25.8" thickBot="1" x14ac:dyDescent="0.65">
      <c r="A81" s="64">
        <v>73</v>
      </c>
      <c r="B81" s="181" t="s">
        <v>452</v>
      </c>
      <c r="C81" s="182" t="s">
        <v>21</v>
      </c>
      <c r="D81" s="190">
        <v>45474</v>
      </c>
      <c r="E81" s="184">
        <v>0</v>
      </c>
      <c r="F81" s="185">
        <f t="shared" ref="F81" si="130">+E81*$C$1</f>
        <v>0</v>
      </c>
      <c r="G81" s="185">
        <f t="shared" ref="G81" si="131">+BR81</f>
        <v>176.4</v>
      </c>
      <c r="H81" s="186">
        <f t="shared" ref="H81" si="132">+F81+G81</f>
        <v>176.4</v>
      </c>
      <c r="I81" s="187">
        <v>15</v>
      </c>
      <c r="J81" s="88">
        <v>15</v>
      </c>
      <c r="L81" s="180" t="s">
        <v>442</v>
      </c>
      <c r="M81" s="191"/>
      <c r="N81" s="189"/>
      <c r="W81" s="1" t="s">
        <v>452</v>
      </c>
      <c r="X81" s="50"/>
      <c r="Y81" s="48"/>
      <c r="Z81" s="49"/>
      <c r="AA81" s="49"/>
      <c r="AB81" s="49"/>
      <c r="AC81" s="31"/>
      <c r="AD81" s="28"/>
      <c r="AE81" s="52"/>
      <c r="AF81" s="52"/>
      <c r="AG81" s="49"/>
      <c r="AH81" s="22"/>
      <c r="AI81" s="52"/>
      <c r="AJ81" s="52"/>
      <c r="AK81" s="49"/>
      <c r="AL81" s="31"/>
      <c r="AM81" s="52"/>
      <c r="AN81" s="52"/>
      <c r="AO81" s="72"/>
      <c r="AP81" s="74"/>
      <c r="AQ81" s="76"/>
      <c r="AR81" s="76"/>
      <c r="AS81" s="74"/>
      <c r="AT81" s="74"/>
      <c r="AU81" s="73"/>
      <c r="AV81" s="73"/>
      <c r="AW81" s="73"/>
      <c r="AX81" s="73">
        <f t="shared" si="105"/>
        <v>0</v>
      </c>
      <c r="AY81" s="109">
        <f>+(0)+(0)+(0)+(78)</f>
        <v>78</v>
      </c>
      <c r="AZ81" s="109">
        <f>+(0)+(38.4)+(0)+(0)+(30)+(0)+(0)+(0)</f>
        <v>68.400000000000006</v>
      </c>
      <c r="BA81" s="61">
        <v>146.4</v>
      </c>
      <c r="BB81" s="61">
        <f t="shared" si="77"/>
        <v>0</v>
      </c>
      <c r="BD81" s="153">
        <v>30</v>
      </c>
      <c r="BE81" s="88">
        <v>0</v>
      </c>
      <c r="BF81" s="88">
        <v>0</v>
      </c>
      <c r="BG81" s="88">
        <v>0</v>
      </c>
      <c r="BH81" s="88">
        <v>0</v>
      </c>
      <c r="BI81" s="88">
        <v>0</v>
      </c>
      <c r="BJ81" s="88">
        <v>0</v>
      </c>
      <c r="BK81" s="88">
        <v>0</v>
      </c>
      <c r="BL81" s="88">
        <v>0</v>
      </c>
      <c r="BM81" s="88">
        <v>0</v>
      </c>
      <c r="BN81" s="88">
        <v>0</v>
      </c>
      <c r="BO81" s="88">
        <v>0</v>
      </c>
      <c r="BP81" s="210">
        <v>30</v>
      </c>
      <c r="BQ81" s="208">
        <f t="shared" si="112"/>
        <v>0</v>
      </c>
      <c r="BR81" s="175">
        <f t="shared" si="106"/>
        <v>176.4</v>
      </c>
    </row>
    <row r="82" spans="1:70" ht="25.8" thickBot="1" x14ac:dyDescent="0.65">
      <c r="A82" s="64">
        <v>74</v>
      </c>
      <c r="B82" s="112" t="s">
        <v>319</v>
      </c>
      <c r="C82" s="113" t="s">
        <v>23</v>
      </c>
      <c r="D82" s="114">
        <v>42705</v>
      </c>
      <c r="E82" s="116">
        <v>4</v>
      </c>
      <c r="F82" s="116">
        <f t="shared" si="69"/>
        <v>2133.3200000000002</v>
      </c>
      <c r="G82" s="116">
        <f t="shared" si="103"/>
        <v>1023.6</v>
      </c>
      <c r="H82" s="117">
        <f t="shared" si="84"/>
        <v>3156.92</v>
      </c>
      <c r="I82" s="118">
        <v>11</v>
      </c>
      <c r="J82" s="88">
        <v>11</v>
      </c>
      <c r="K82" s="201" t="s">
        <v>315</v>
      </c>
      <c r="L82" s="133">
        <v>46357</v>
      </c>
      <c r="M82" s="129"/>
      <c r="N82" s="121" t="str">
        <f t="shared" ref="N82:N90" ca="1" si="133">IF($B$2&lt;L82,"O.K.","A L E R T A ")</f>
        <v>O.K.</v>
      </c>
      <c r="W82" s="1" t="s">
        <v>319</v>
      </c>
      <c r="X82" s="51">
        <v>0</v>
      </c>
      <c r="Y82" s="48">
        <v>0</v>
      </c>
      <c r="Z82" s="49">
        <v>0</v>
      </c>
      <c r="AA82" s="49">
        <v>120</v>
      </c>
      <c r="AB82" s="49">
        <v>120</v>
      </c>
      <c r="AC82" s="31">
        <v>156</v>
      </c>
      <c r="AD82" s="28">
        <f>+AC82-AB82</f>
        <v>36</v>
      </c>
      <c r="AE82" s="52">
        <v>0</v>
      </c>
      <c r="AF82" s="52">
        <f>+(0)+(78)+(0)+(0)+(54)+(54)</f>
        <v>186</v>
      </c>
      <c r="AG82" s="49">
        <v>120</v>
      </c>
      <c r="AH82" s="22">
        <f>+AD82+(AE82+AF82)-AG82</f>
        <v>102</v>
      </c>
      <c r="AI82" s="52">
        <f t="shared" si="47"/>
        <v>0</v>
      </c>
      <c r="AJ82" s="52">
        <f>+(30)+(0)+(0)+(0)+(0)+(0)</f>
        <v>30</v>
      </c>
      <c r="AK82" s="49">
        <v>120</v>
      </c>
      <c r="AL82" s="31">
        <f>+AH82+AI82+AJ82-AK82</f>
        <v>12</v>
      </c>
      <c r="AM82" s="52">
        <f t="shared" si="48"/>
        <v>0</v>
      </c>
      <c r="AN82" s="52">
        <f>+(0)+(0)+(0)+(0)+(174)+(0)</f>
        <v>174</v>
      </c>
      <c r="AO82" s="72">
        <v>120</v>
      </c>
      <c r="AP82" s="74">
        <f>+AL82+AM82+AN82-AO82</f>
        <v>66</v>
      </c>
      <c r="AQ82" s="76">
        <f>+(0)+(0)+(0)+(78)+(54)+(0)</f>
        <v>132</v>
      </c>
      <c r="AR82" s="76">
        <f t="shared" si="49"/>
        <v>0</v>
      </c>
      <c r="AS82" s="74">
        <v>120</v>
      </c>
      <c r="AT82" s="74">
        <f>+AP82+AQ82+AR82-AS82</f>
        <v>78</v>
      </c>
      <c r="AU82" s="73">
        <f>+(0)+(0)+(0)+(21.6)</f>
        <v>21.6</v>
      </c>
      <c r="AV82" s="73">
        <f>+(0)+(0)+(0)+(0)+(0)+(0)+(108)+(0)</f>
        <v>108</v>
      </c>
      <c r="AW82" s="73">
        <v>120</v>
      </c>
      <c r="AX82" s="73">
        <f t="shared" ref="AX82:AX100" si="134">+AT82+AU82+AV82-AW82</f>
        <v>87.6</v>
      </c>
      <c r="AY82" s="109">
        <f t="shared" si="123"/>
        <v>0</v>
      </c>
      <c r="AZ82" s="109">
        <f>+(0)+(0)+(0)+(0)+(0)+(0)+(0)+(96)</f>
        <v>96</v>
      </c>
      <c r="BA82" s="61">
        <v>120</v>
      </c>
      <c r="BB82" s="61">
        <f t="shared" si="77"/>
        <v>63.599999999999994</v>
      </c>
      <c r="BD82" s="88">
        <v>0</v>
      </c>
      <c r="BE82" s="88">
        <v>0</v>
      </c>
      <c r="BF82" s="88">
        <v>0</v>
      </c>
      <c r="BG82" s="88">
        <v>0</v>
      </c>
      <c r="BH82" s="88">
        <v>0</v>
      </c>
      <c r="BI82" s="88">
        <v>0</v>
      </c>
      <c r="BJ82" s="88">
        <v>0</v>
      </c>
      <c r="BK82" s="88">
        <v>0</v>
      </c>
      <c r="BL82" s="88">
        <v>0</v>
      </c>
      <c r="BM82" s="88">
        <v>0</v>
      </c>
      <c r="BN82" s="88">
        <v>0</v>
      </c>
      <c r="BO82" s="88">
        <v>0</v>
      </c>
      <c r="BP82" s="210">
        <v>63.6</v>
      </c>
      <c r="BQ82" s="208">
        <f t="shared" si="112"/>
        <v>0</v>
      </c>
      <c r="BR82" s="175">
        <f t="shared" si="106"/>
        <v>1023.6</v>
      </c>
    </row>
    <row r="83" spans="1:70" ht="25.8" thickBot="1" x14ac:dyDescent="0.65">
      <c r="A83" s="64">
        <v>75</v>
      </c>
      <c r="B83" s="112" t="s">
        <v>449</v>
      </c>
      <c r="C83" s="113" t="s">
        <v>23</v>
      </c>
      <c r="D83" s="114">
        <v>45442</v>
      </c>
      <c r="E83" s="116">
        <v>0</v>
      </c>
      <c r="F83" s="116">
        <f t="shared" ref="F83" si="135">+E83*$C$1</f>
        <v>0</v>
      </c>
      <c r="G83" s="116">
        <f t="shared" ref="G83" si="136">+BR83</f>
        <v>183</v>
      </c>
      <c r="H83" s="117">
        <f t="shared" ref="H83" si="137">+F83+G83</f>
        <v>183</v>
      </c>
      <c r="I83" s="118">
        <v>15</v>
      </c>
      <c r="J83" s="88">
        <v>15</v>
      </c>
      <c r="L83" s="133">
        <v>46172</v>
      </c>
      <c r="M83" s="129"/>
      <c r="N83" s="121" t="str">
        <f t="shared" ca="1" si="133"/>
        <v>O.K.</v>
      </c>
      <c r="W83" s="1" t="s">
        <v>449</v>
      </c>
      <c r="X83" s="51"/>
      <c r="Y83" s="48"/>
      <c r="Z83" s="49"/>
      <c r="AA83" s="49"/>
      <c r="AB83" s="49"/>
      <c r="AC83" s="31"/>
      <c r="AD83" s="28"/>
      <c r="AE83" s="52"/>
      <c r="AF83" s="52"/>
      <c r="AG83" s="49"/>
      <c r="AH83" s="22"/>
      <c r="AI83" s="52"/>
      <c r="AJ83" s="52"/>
      <c r="AK83" s="49"/>
      <c r="AL83" s="31"/>
      <c r="AM83" s="52"/>
      <c r="AN83" s="52"/>
      <c r="AO83" s="72"/>
      <c r="AP83" s="74"/>
      <c r="AQ83" s="76"/>
      <c r="AR83" s="76"/>
      <c r="AS83" s="74"/>
      <c r="AT83" s="74"/>
      <c r="AU83" s="73"/>
      <c r="AV83" s="73"/>
      <c r="AW83" s="73"/>
      <c r="AX83" s="73">
        <f t="shared" si="105"/>
        <v>0</v>
      </c>
      <c r="AY83" s="109">
        <f t="shared" si="123"/>
        <v>0</v>
      </c>
      <c r="AZ83" s="109">
        <f>+(0)+(0)+(0)+(0)+(0)+(0)+(0)+(183)</f>
        <v>183</v>
      </c>
      <c r="BA83" s="61">
        <v>120</v>
      </c>
      <c r="BB83" s="61">
        <f t="shared" si="77"/>
        <v>63</v>
      </c>
      <c r="BD83" s="88">
        <v>0</v>
      </c>
      <c r="BE83" s="88">
        <v>0</v>
      </c>
      <c r="BF83" s="88">
        <v>0</v>
      </c>
      <c r="BG83" s="88">
        <v>0</v>
      </c>
      <c r="BH83" s="88">
        <v>0</v>
      </c>
      <c r="BI83" s="88">
        <v>0</v>
      </c>
      <c r="BJ83" s="88">
        <v>0</v>
      </c>
      <c r="BK83" s="88">
        <v>0</v>
      </c>
      <c r="BL83" s="88">
        <v>0</v>
      </c>
      <c r="BM83" s="88">
        <v>0</v>
      </c>
      <c r="BN83" s="88">
        <v>0</v>
      </c>
      <c r="BO83" s="88">
        <v>0</v>
      </c>
      <c r="BP83" s="210">
        <v>63</v>
      </c>
      <c r="BQ83" s="208">
        <f t="shared" si="112"/>
        <v>0</v>
      </c>
      <c r="BR83" s="175">
        <f t="shared" si="106"/>
        <v>183</v>
      </c>
    </row>
    <row r="84" spans="1:70" ht="25.8" thickBot="1" x14ac:dyDescent="0.65">
      <c r="A84" s="64">
        <v>76</v>
      </c>
      <c r="B84" s="112" t="s">
        <v>58</v>
      </c>
      <c r="C84" s="113" t="s">
        <v>171</v>
      </c>
      <c r="D84" s="112" t="s">
        <v>135</v>
      </c>
      <c r="E84" s="115">
        <v>8</v>
      </c>
      <c r="F84" s="116">
        <f t="shared" si="69"/>
        <v>4266.6400000000003</v>
      </c>
      <c r="G84" s="116">
        <f t="shared" si="103"/>
        <v>2433</v>
      </c>
      <c r="H84" s="117">
        <f t="shared" si="84"/>
        <v>6699.64</v>
      </c>
      <c r="I84" s="118">
        <v>7</v>
      </c>
      <c r="J84" s="88">
        <v>7</v>
      </c>
      <c r="L84" s="122">
        <v>46023</v>
      </c>
      <c r="M84" s="120"/>
      <c r="N84" s="121" t="str">
        <f t="shared" ca="1" si="133"/>
        <v>O.K.</v>
      </c>
      <c r="W84" s="1" t="s">
        <v>58</v>
      </c>
      <c r="X84" s="50">
        <v>1149</v>
      </c>
      <c r="Y84" s="48">
        <v>96</v>
      </c>
      <c r="Z84" s="49">
        <v>108</v>
      </c>
      <c r="AA84" s="49">
        <v>120</v>
      </c>
      <c r="AB84" s="49">
        <v>120</v>
      </c>
      <c r="AC84" s="31">
        <v>252</v>
      </c>
      <c r="AD84" s="28">
        <f>+AC84-AB84</f>
        <v>132</v>
      </c>
      <c r="AE84" s="52">
        <v>78</v>
      </c>
      <c r="AF84" s="52">
        <f>+(0)+(108.6)+(0)+(0)+(54)+(54)</f>
        <v>216.6</v>
      </c>
      <c r="AG84" s="49">
        <v>120</v>
      </c>
      <c r="AH84" s="22">
        <f>+AD84+(AE84+AF84)-AG84</f>
        <v>306.60000000000002</v>
      </c>
      <c r="AI84" s="52">
        <f>+(0)+(0)+(0)+(0)+(156)+(0)</f>
        <v>156</v>
      </c>
      <c r="AJ84" s="52">
        <f>+(84.6)+(0)+(0)+(0)+(0)+(0)</f>
        <v>84.6</v>
      </c>
      <c r="AK84" s="49">
        <v>120</v>
      </c>
      <c r="AL84" s="31">
        <f>+AH84+AI84+AJ84-AK84</f>
        <v>427.20000000000005</v>
      </c>
      <c r="AM84" s="52">
        <f t="shared" si="48"/>
        <v>0</v>
      </c>
      <c r="AN84" s="52">
        <f t="shared" si="48"/>
        <v>0</v>
      </c>
      <c r="AO84" s="72">
        <v>120</v>
      </c>
      <c r="AP84" s="74">
        <f>+AL84+AM84+AN84-AO84</f>
        <v>307.20000000000005</v>
      </c>
      <c r="AQ84" s="76">
        <f>+(0)+(0)+(0)+(78)+(0)+(0)</f>
        <v>78</v>
      </c>
      <c r="AR84" s="76">
        <f t="shared" si="49"/>
        <v>0</v>
      </c>
      <c r="AS84" s="74">
        <v>120</v>
      </c>
      <c r="AT84" s="74">
        <f>+AP84+AQ84+AR84-AS84</f>
        <v>265.20000000000005</v>
      </c>
      <c r="AU84" s="73">
        <f t="shared" si="104"/>
        <v>0</v>
      </c>
      <c r="AV84" s="73">
        <f>+(0)+(0)+(0)+(0)+(0)+(0)+(54)+(0)</f>
        <v>54</v>
      </c>
      <c r="AW84" s="73">
        <v>120</v>
      </c>
      <c r="AX84" s="73">
        <f t="shared" si="134"/>
        <v>199.20000000000005</v>
      </c>
      <c r="AY84" s="109">
        <f>+(0)+(0)+(0)+(54)</f>
        <v>54</v>
      </c>
      <c r="AZ84" s="109">
        <f>+(0)+(0)+(0)+(0)+(0)+(78)+(0)+(78)</f>
        <v>156</v>
      </c>
      <c r="BA84" s="61">
        <v>120</v>
      </c>
      <c r="BB84" s="61">
        <f t="shared" si="77"/>
        <v>289.20000000000005</v>
      </c>
      <c r="BD84" s="88">
        <v>0</v>
      </c>
      <c r="BE84" s="88">
        <v>0</v>
      </c>
      <c r="BF84" s="88">
        <v>0</v>
      </c>
      <c r="BG84" s="88">
        <v>0</v>
      </c>
      <c r="BH84" s="88">
        <v>0</v>
      </c>
      <c r="BI84" s="88">
        <v>0</v>
      </c>
      <c r="BJ84" s="88">
        <v>0</v>
      </c>
      <c r="BK84" s="88">
        <v>0</v>
      </c>
      <c r="BL84" s="88">
        <v>0</v>
      </c>
      <c r="BM84" s="88">
        <v>0</v>
      </c>
      <c r="BN84" s="88">
        <v>0</v>
      </c>
      <c r="BO84" s="88">
        <v>0</v>
      </c>
      <c r="BP84" s="210">
        <v>120</v>
      </c>
      <c r="BQ84" s="208">
        <f t="shared" si="112"/>
        <v>169.20000000000005</v>
      </c>
      <c r="BR84" s="175">
        <f t="shared" si="106"/>
        <v>2433</v>
      </c>
    </row>
    <row r="85" spans="1:70" ht="25.8" thickBot="1" x14ac:dyDescent="0.65">
      <c r="A85" s="64">
        <v>77</v>
      </c>
      <c r="B85" s="112" t="s">
        <v>474</v>
      </c>
      <c r="C85" s="113" t="s">
        <v>20</v>
      </c>
      <c r="D85" s="114">
        <v>45695</v>
      </c>
      <c r="E85" s="115">
        <v>0</v>
      </c>
      <c r="F85" s="116">
        <f t="shared" si="69"/>
        <v>0</v>
      </c>
      <c r="G85" s="116">
        <f t="shared" ref="G85" si="138">+BR85</f>
        <v>1538.4</v>
      </c>
      <c r="H85" s="117">
        <f t="shared" ref="H85" si="139">+F85+G85</f>
        <v>1538.4</v>
      </c>
      <c r="I85" s="118">
        <v>14</v>
      </c>
      <c r="J85" s="88">
        <v>14</v>
      </c>
      <c r="L85" s="122">
        <v>46296</v>
      </c>
      <c r="M85" s="120"/>
      <c r="N85" s="121" t="str">
        <f t="shared" ca="1" si="133"/>
        <v>O.K.</v>
      </c>
      <c r="W85" s="1" t="s">
        <v>474</v>
      </c>
      <c r="X85" s="68">
        <v>1333.2</v>
      </c>
      <c r="Y85" s="48"/>
      <c r="Z85" s="49"/>
      <c r="AA85" s="49"/>
      <c r="AB85" s="49"/>
      <c r="AC85" s="31"/>
      <c r="AD85" s="28"/>
      <c r="AE85" s="52"/>
      <c r="AF85" s="52"/>
      <c r="AG85" s="49"/>
      <c r="AH85" s="22"/>
      <c r="AI85" s="52"/>
      <c r="AJ85" s="52"/>
      <c r="AK85" s="49"/>
      <c r="AL85" s="31"/>
      <c r="AM85" s="52"/>
      <c r="AN85" s="52"/>
      <c r="AO85" s="72"/>
      <c r="AP85" s="74"/>
      <c r="AQ85" s="76"/>
      <c r="AR85" s="76"/>
      <c r="AS85" s="74"/>
      <c r="AT85" s="74"/>
      <c r="AU85" s="73"/>
      <c r="AV85" s="73"/>
      <c r="AW85" s="73"/>
      <c r="AX85" s="73"/>
      <c r="AY85" s="109">
        <f t="shared" si="123"/>
        <v>0</v>
      </c>
      <c r="AZ85" s="109">
        <f>+(0)+(0)+(145.2)+(0)+(0)+(0)+(0)+(60)</f>
        <v>205.2</v>
      </c>
      <c r="BA85" s="61">
        <v>150</v>
      </c>
      <c r="BB85" s="61">
        <f t="shared" si="77"/>
        <v>55.199999999999989</v>
      </c>
      <c r="BD85" s="88">
        <v>0</v>
      </c>
      <c r="BE85" s="88">
        <v>0</v>
      </c>
      <c r="BF85" s="88">
        <v>0</v>
      </c>
      <c r="BG85" s="88">
        <v>0</v>
      </c>
      <c r="BH85" s="88">
        <v>0</v>
      </c>
      <c r="BI85" s="88">
        <v>0</v>
      </c>
      <c r="BJ85" s="88">
        <v>0</v>
      </c>
      <c r="BK85" s="88">
        <v>0</v>
      </c>
      <c r="BL85" s="88">
        <v>0</v>
      </c>
      <c r="BM85" s="88">
        <v>0</v>
      </c>
      <c r="BN85" s="88">
        <v>0</v>
      </c>
      <c r="BO85" s="88">
        <v>0</v>
      </c>
      <c r="BP85" s="210">
        <v>55.2</v>
      </c>
      <c r="BQ85" s="208">
        <f t="shared" si="112"/>
        <v>0</v>
      </c>
      <c r="BR85" s="175">
        <f t="shared" si="106"/>
        <v>1538.4</v>
      </c>
    </row>
    <row r="86" spans="1:70" ht="25.8" thickBot="1" x14ac:dyDescent="0.65">
      <c r="A86" s="64">
        <v>78</v>
      </c>
      <c r="B86" s="166" t="s">
        <v>468</v>
      </c>
      <c r="C86" s="156" t="s">
        <v>20</v>
      </c>
      <c r="D86" s="167">
        <v>45658</v>
      </c>
      <c r="E86" s="168">
        <v>1</v>
      </c>
      <c r="F86" s="160">
        <f t="shared" si="69"/>
        <v>533.33000000000004</v>
      </c>
      <c r="G86" s="160">
        <f t="shared" ref="G86" si="140">+BR86</f>
        <v>218.4</v>
      </c>
      <c r="H86" s="161">
        <f t="shared" ref="H86" si="141">+F86+G86</f>
        <v>751.73</v>
      </c>
      <c r="I86" s="162">
        <v>15</v>
      </c>
      <c r="J86" s="88">
        <v>15</v>
      </c>
      <c r="L86" s="169">
        <v>46539</v>
      </c>
      <c r="M86" s="164"/>
      <c r="N86" s="165" t="str">
        <f t="shared" ca="1" si="133"/>
        <v>O.K.</v>
      </c>
      <c r="W86" s="1" t="s">
        <v>468</v>
      </c>
      <c r="X86" s="50"/>
      <c r="Y86" s="48"/>
      <c r="Z86" s="49"/>
      <c r="AA86" s="49"/>
      <c r="AB86" s="49"/>
      <c r="AC86" s="31"/>
      <c r="AD86" s="28"/>
      <c r="AE86" s="52"/>
      <c r="AF86" s="52"/>
      <c r="AG86" s="49"/>
      <c r="AH86" s="22"/>
      <c r="AI86" s="52"/>
      <c r="AJ86" s="52"/>
      <c r="AK86" s="49"/>
      <c r="AL86" s="31"/>
      <c r="AM86" s="52"/>
      <c r="AN86" s="52"/>
      <c r="AO86" s="72"/>
      <c r="AP86" s="74"/>
      <c r="AQ86" s="76"/>
      <c r="AR86" s="76"/>
      <c r="AS86" s="74"/>
      <c r="AT86" s="74"/>
      <c r="AU86" s="73"/>
      <c r="AV86" s="73"/>
      <c r="AW86" s="73"/>
      <c r="AX86" s="73"/>
      <c r="AY86" s="109">
        <f t="shared" si="123"/>
        <v>0</v>
      </c>
      <c r="AZ86" s="109">
        <f>+(0)+(0)+(0)+(0)+(78)+(0)+(0)+(140.4)</f>
        <v>218.4</v>
      </c>
      <c r="BA86" s="61">
        <v>150</v>
      </c>
      <c r="BB86" s="61">
        <f t="shared" ref="BB86" si="142">(AX86+AY86+AZ86)-BA86</f>
        <v>68.400000000000006</v>
      </c>
      <c r="BD86" s="88">
        <v>0</v>
      </c>
      <c r="BE86" s="88">
        <v>0</v>
      </c>
      <c r="BF86" s="88">
        <v>0</v>
      </c>
      <c r="BG86" s="88">
        <v>0</v>
      </c>
      <c r="BH86" s="88">
        <v>0</v>
      </c>
      <c r="BI86" s="88">
        <v>0</v>
      </c>
      <c r="BJ86" s="88">
        <v>0</v>
      </c>
      <c r="BK86" s="88">
        <v>0</v>
      </c>
      <c r="BL86" s="88">
        <v>0</v>
      </c>
      <c r="BM86" s="88">
        <v>0</v>
      </c>
      <c r="BN86" s="88">
        <v>0</v>
      </c>
      <c r="BO86" s="88">
        <v>0</v>
      </c>
      <c r="BP86" s="210">
        <v>68.400000000000006</v>
      </c>
      <c r="BQ86" s="208">
        <f t="shared" si="112"/>
        <v>0</v>
      </c>
      <c r="BR86" s="175">
        <f t="shared" si="106"/>
        <v>218.4</v>
      </c>
    </row>
    <row r="87" spans="1:70" ht="25.8" thickBot="1" x14ac:dyDescent="0.65">
      <c r="A87" s="64">
        <v>79</v>
      </c>
      <c r="B87" s="166" t="s">
        <v>218</v>
      </c>
      <c r="C87" s="156" t="s">
        <v>20</v>
      </c>
      <c r="D87" s="167">
        <v>42772</v>
      </c>
      <c r="E87" s="168">
        <v>4</v>
      </c>
      <c r="F87" s="160">
        <f t="shared" ref="F87:F127" si="143">+E87*$C$1</f>
        <v>2133.3200000000002</v>
      </c>
      <c r="G87" s="160">
        <f t="shared" si="103"/>
        <v>1446</v>
      </c>
      <c r="H87" s="161">
        <f t="shared" si="84"/>
        <v>3579.32</v>
      </c>
      <c r="I87" s="162">
        <v>11</v>
      </c>
      <c r="J87" s="88">
        <v>11</v>
      </c>
      <c r="L87" s="169">
        <v>46424</v>
      </c>
      <c r="M87" s="164"/>
      <c r="N87" s="165" t="str">
        <f t="shared" ca="1" si="133"/>
        <v>O.K.</v>
      </c>
      <c r="W87" s="1" t="s">
        <v>218</v>
      </c>
      <c r="X87" s="50">
        <v>0</v>
      </c>
      <c r="Y87" s="48">
        <v>0</v>
      </c>
      <c r="Z87" s="49">
        <v>96</v>
      </c>
      <c r="AA87" s="49">
        <v>150</v>
      </c>
      <c r="AB87" s="49">
        <v>150</v>
      </c>
      <c r="AC87" s="31">
        <v>186</v>
      </c>
      <c r="AD87" s="28">
        <f t="shared" ref="AD87:AD98" si="144">+AC87-AB87</f>
        <v>36</v>
      </c>
      <c r="AE87" s="52">
        <f>78+138.6</f>
        <v>216.6</v>
      </c>
      <c r="AF87" s="52">
        <f>+(78)+(0)+(0)+(0)+(54)+(54)</f>
        <v>186</v>
      </c>
      <c r="AG87" s="49">
        <v>150</v>
      </c>
      <c r="AH87" s="63">
        <f>+AD87+(AE87+AF87)-AG87</f>
        <v>288.60000000000002</v>
      </c>
      <c r="AI87" s="52">
        <f>+(0)+(0)+(0)+(0)+(132.6)+(0)</f>
        <v>132.6</v>
      </c>
      <c r="AJ87" s="52">
        <f>+(0)+(0)+(174)+(0)+(0)+(0)</f>
        <v>174</v>
      </c>
      <c r="AK87" s="49">
        <v>150</v>
      </c>
      <c r="AL87" s="31">
        <f t="shared" ref="AL87:AL97" si="145">+AH87+AI87+AJ87-AK87</f>
        <v>445.20000000000005</v>
      </c>
      <c r="AM87" s="52">
        <f t="shared" si="48"/>
        <v>0</v>
      </c>
      <c r="AN87" s="52">
        <f>+(0)+(78)+(0)+(0)+(0)+(96)</f>
        <v>174</v>
      </c>
      <c r="AO87" s="72">
        <v>150</v>
      </c>
      <c r="AP87" s="74">
        <f>+AL87+AM87+AN87-AO87</f>
        <v>469.20000000000005</v>
      </c>
      <c r="AQ87" s="76">
        <f>+(108)+(0)+(0)+(0)+(84)+(0)</f>
        <v>192</v>
      </c>
      <c r="AR87" s="76">
        <f t="shared" si="49"/>
        <v>0</v>
      </c>
      <c r="AS87" s="74">
        <v>150</v>
      </c>
      <c r="AT87" s="74">
        <f>+AP87+AQ87+AR87-AS87</f>
        <v>511.20000000000005</v>
      </c>
      <c r="AU87" s="73">
        <f>+(0)+(0)+(0)+(378)</f>
        <v>378</v>
      </c>
      <c r="AV87" s="73">
        <f>+(120)+(0)+(0)+(120)+(54)+(0)+(0)+(0)</f>
        <v>294</v>
      </c>
      <c r="AW87" s="73">
        <v>150</v>
      </c>
      <c r="AX87" s="73">
        <f t="shared" si="134"/>
        <v>1033.2</v>
      </c>
      <c r="AY87" s="109">
        <f>+(0)+(0)+(0)+(78)</f>
        <v>78</v>
      </c>
      <c r="AZ87" s="109">
        <f t="shared" si="111"/>
        <v>0</v>
      </c>
      <c r="BA87" s="61">
        <v>150</v>
      </c>
      <c r="BB87" s="61">
        <f t="shared" si="77"/>
        <v>961.2</v>
      </c>
      <c r="BD87" s="88">
        <v>0</v>
      </c>
      <c r="BE87" s="88">
        <v>0</v>
      </c>
      <c r="BF87" s="88">
        <v>0</v>
      </c>
      <c r="BG87" s="88">
        <v>0</v>
      </c>
      <c r="BH87" s="88">
        <v>0</v>
      </c>
      <c r="BI87" s="88">
        <v>0</v>
      </c>
      <c r="BJ87" s="88">
        <v>0</v>
      </c>
      <c r="BK87" s="88">
        <v>0</v>
      </c>
      <c r="BL87" s="88">
        <v>0</v>
      </c>
      <c r="BM87" s="88">
        <v>0</v>
      </c>
      <c r="BN87" s="88">
        <v>0</v>
      </c>
      <c r="BO87" s="88">
        <v>0</v>
      </c>
      <c r="BP87" s="210">
        <v>150</v>
      </c>
      <c r="BQ87" s="208">
        <f t="shared" si="112"/>
        <v>811.2</v>
      </c>
      <c r="BR87" s="175">
        <f t="shared" si="106"/>
        <v>1446</v>
      </c>
    </row>
    <row r="88" spans="1:70" ht="25.8" thickBot="1" x14ac:dyDescent="0.65">
      <c r="A88" s="64">
        <v>80</v>
      </c>
      <c r="B88" s="181" t="s">
        <v>499</v>
      </c>
      <c r="C88" s="182" t="s">
        <v>23</v>
      </c>
      <c r="D88" s="183">
        <v>45839</v>
      </c>
      <c r="E88" s="184">
        <v>0</v>
      </c>
      <c r="F88" s="185">
        <f t="shared" ref="F88" si="146">+E88*$C$1</f>
        <v>0</v>
      </c>
      <c r="G88" s="185">
        <f t="shared" ref="G88" si="147">+BR88</f>
        <v>0</v>
      </c>
      <c r="H88" s="186">
        <f t="shared" ref="H88" si="148">+F88+G88</f>
        <v>0</v>
      </c>
      <c r="I88" s="187">
        <v>15</v>
      </c>
      <c r="J88" s="88">
        <v>15</v>
      </c>
      <c r="L88" s="180" t="s">
        <v>442</v>
      </c>
      <c r="M88" s="191"/>
      <c r="N88" s="189"/>
      <c r="W88" s="1" t="s">
        <v>499</v>
      </c>
      <c r="X88" s="50"/>
      <c r="Y88" s="48"/>
      <c r="Z88" s="49"/>
      <c r="AA88" s="49"/>
      <c r="AB88" s="49"/>
      <c r="AC88" s="31"/>
      <c r="AD88" s="28"/>
      <c r="AE88" s="52"/>
      <c r="AF88" s="52"/>
      <c r="AG88" s="49"/>
      <c r="AH88" s="63"/>
      <c r="AI88" s="52"/>
      <c r="AJ88" s="52"/>
      <c r="AK88" s="49"/>
      <c r="AL88" s="31"/>
      <c r="AM88" s="52"/>
      <c r="AN88" s="52"/>
      <c r="AO88" s="72"/>
      <c r="AP88" s="74"/>
      <c r="AQ88" s="76"/>
      <c r="AR88" s="76"/>
      <c r="AS88" s="74"/>
      <c r="AT88" s="74"/>
      <c r="AU88" s="73"/>
      <c r="AV88" s="73"/>
      <c r="AW88" s="73"/>
      <c r="AX88" s="73"/>
      <c r="AY88" s="109">
        <f t="shared" si="123"/>
        <v>0</v>
      </c>
      <c r="AZ88" s="109">
        <f t="shared" si="111"/>
        <v>0</v>
      </c>
      <c r="BA88" s="61">
        <v>0</v>
      </c>
      <c r="BB88" s="61">
        <f t="shared" si="77"/>
        <v>0</v>
      </c>
      <c r="BD88" s="88">
        <v>0</v>
      </c>
      <c r="BE88" s="88">
        <v>0</v>
      </c>
      <c r="BF88" s="88">
        <v>0</v>
      </c>
      <c r="BG88" s="88">
        <v>0</v>
      </c>
      <c r="BH88" s="88">
        <v>0</v>
      </c>
      <c r="BI88" s="88">
        <v>0</v>
      </c>
      <c r="BJ88" s="88">
        <v>0</v>
      </c>
      <c r="BK88" s="88">
        <v>0</v>
      </c>
      <c r="BL88" s="88">
        <v>0</v>
      </c>
      <c r="BM88" s="88">
        <v>0</v>
      </c>
      <c r="BN88" s="88">
        <v>0</v>
      </c>
      <c r="BO88" s="88">
        <v>0</v>
      </c>
      <c r="BP88" s="210">
        <v>0</v>
      </c>
      <c r="BQ88" s="208">
        <f t="shared" si="112"/>
        <v>0</v>
      </c>
      <c r="BR88" s="175">
        <f t="shared" si="106"/>
        <v>0</v>
      </c>
    </row>
    <row r="89" spans="1:70" ht="25.8" thickBot="1" x14ac:dyDescent="0.65">
      <c r="A89" s="64">
        <v>81</v>
      </c>
      <c r="B89" s="166" t="s">
        <v>178</v>
      </c>
      <c r="C89" s="156" t="s">
        <v>23</v>
      </c>
      <c r="D89" s="167">
        <v>42291</v>
      </c>
      <c r="E89" s="168">
        <v>5</v>
      </c>
      <c r="F89" s="160">
        <f t="shared" si="143"/>
        <v>2666.65</v>
      </c>
      <c r="G89" s="160">
        <f t="shared" si="103"/>
        <v>1272</v>
      </c>
      <c r="H89" s="161">
        <f t="shared" si="84"/>
        <v>3938.65</v>
      </c>
      <c r="I89" s="162">
        <v>10</v>
      </c>
      <c r="J89" s="88">
        <v>10</v>
      </c>
      <c r="K89" s="212" t="s">
        <v>315</v>
      </c>
      <c r="L89" s="169">
        <v>46459</v>
      </c>
      <c r="M89" s="164"/>
      <c r="N89" s="165" t="str">
        <f t="shared" ca="1" si="133"/>
        <v>O.K.</v>
      </c>
      <c r="W89" s="1" t="s">
        <v>178</v>
      </c>
      <c r="X89" s="50">
        <v>0</v>
      </c>
      <c r="Y89" s="48">
        <v>96</v>
      </c>
      <c r="Z89" s="49">
        <v>96</v>
      </c>
      <c r="AA89" s="49">
        <v>120</v>
      </c>
      <c r="AB89" s="49">
        <v>120</v>
      </c>
      <c r="AC89" s="31">
        <v>384</v>
      </c>
      <c r="AD89" s="28">
        <f t="shared" si="144"/>
        <v>264</v>
      </c>
      <c r="AE89" s="52">
        <v>92.4</v>
      </c>
      <c r="AF89" s="52">
        <f>+(0)+(0)+(0)+(0)+(54)+(162)</f>
        <v>216</v>
      </c>
      <c r="AG89" s="49">
        <v>120</v>
      </c>
      <c r="AH89" s="22">
        <f>+AD89+(AE89+AF89)-AG89</f>
        <v>452.4</v>
      </c>
      <c r="AI89" s="52">
        <f t="shared" si="47"/>
        <v>0</v>
      </c>
      <c r="AJ89" s="52">
        <f t="shared" si="47"/>
        <v>0</v>
      </c>
      <c r="AK89" s="49">
        <v>120</v>
      </c>
      <c r="AL89" s="31">
        <f t="shared" si="145"/>
        <v>332.4</v>
      </c>
      <c r="AM89" s="52">
        <f t="shared" si="48"/>
        <v>0</v>
      </c>
      <c r="AN89" s="52">
        <f>+(0)+(0)+(0)+(0)+(0)+(139.2)</f>
        <v>139.19999999999999</v>
      </c>
      <c r="AO89" s="72">
        <v>120</v>
      </c>
      <c r="AP89" s="74">
        <f>+AL89+AM89+AN89-AO89</f>
        <v>351.59999999999997</v>
      </c>
      <c r="AQ89" s="76">
        <f>+(0)+(0)+(0)+(0)+(54)+(0)</f>
        <v>54</v>
      </c>
      <c r="AR89" s="76">
        <f t="shared" si="49"/>
        <v>0</v>
      </c>
      <c r="AS89" s="74">
        <v>120</v>
      </c>
      <c r="AT89" s="74">
        <f>+AP89+AQ89+AR89-AS89</f>
        <v>285.59999999999997</v>
      </c>
      <c r="AU89" s="73">
        <f>+(0)+(0)+(0)+(30)</f>
        <v>30</v>
      </c>
      <c r="AV89" s="73">
        <f>+(0)+(0)+(96)+(0)+(0)+(0)+(0)+(0)</f>
        <v>96</v>
      </c>
      <c r="AW89" s="73">
        <v>120</v>
      </c>
      <c r="AX89" s="73">
        <f t="shared" si="134"/>
        <v>291.59999999999997</v>
      </c>
      <c r="AY89" s="109">
        <f>+(0)+(0)+(0)+(54)</f>
        <v>54</v>
      </c>
      <c r="AZ89" s="109">
        <f>+(0)+(0)+(0)+(0)+(60)+(0)+(0)+(0)</f>
        <v>60</v>
      </c>
      <c r="BA89" s="61">
        <v>120</v>
      </c>
      <c r="BB89" s="61">
        <f t="shared" si="77"/>
        <v>285.59999999999997</v>
      </c>
      <c r="BD89" s="88">
        <v>0</v>
      </c>
      <c r="BE89" s="88">
        <v>0</v>
      </c>
      <c r="BF89" s="88">
        <v>0</v>
      </c>
      <c r="BG89" s="88">
        <v>0</v>
      </c>
      <c r="BH89" s="88">
        <v>0</v>
      </c>
      <c r="BI89" s="88">
        <v>0</v>
      </c>
      <c r="BJ89" s="88">
        <v>0</v>
      </c>
      <c r="BK89" s="88">
        <v>0</v>
      </c>
      <c r="BL89" s="88">
        <v>0</v>
      </c>
      <c r="BM89" s="88">
        <v>0</v>
      </c>
      <c r="BN89" s="88">
        <v>0</v>
      </c>
      <c r="BO89" s="88">
        <v>0</v>
      </c>
      <c r="BP89" s="210">
        <v>120</v>
      </c>
      <c r="BQ89" s="208">
        <f t="shared" si="112"/>
        <v>165.59999999999997</v>
      </c>
      <c r="BR89" s="175">
        <f t="shared" si="106"/>
        <v>1272</v>
      </c>
    </row>
    <row r="90" spans="1:70" ht="25.8" thickBot="1" x14ac:dyDescent="0.65">
      <c r="A90" s="64">
        <v>82</v>
      </c>
      <c r="B90" s="166" t="s">
        <v>266</v>
      </c>
      <c r="C90" s="156" t="s">
        <v>171</v>
      </c>
      <c r="D90" s="167">
        <v>43603</v>
      </c>
      <c r="E90" s="168">
        <v>3</v>
      </c>
      <c r="F90" s="160">
        <f t="shared" si="143"/>
        <v>1599.9900000000002</v>
      </c>
      <c r="G90" s="160">
        <f t="shared" si="103"/>
        <v>840</v>
      </c>
      <c r="H90" s="161">
        <f t="shared" si="84"/>
        <v>2439.9900000000002</v>
      </c>
      <c r="I90" s="162">
        <v>12</v>
      </c>
      <c r="J90" s="88">
        <v>12</v>
      </c>
      <c r="L90" s="169">
        <v>46525</v>
      </c>
      <c r="M90" s="164"/>
      <c r="N90" s="165" t="str">
        <f t="shared" ca="1" si="133"/>
        <v>O.K.</v>
      </c>
      <c r="W90" s="1" t="s">
        <v>266</v>
      </c>
      <c r="X90" s="50">
        <v>0</v>
      </c>
      <c r="Y90" s="48">
        <v>0</v>
      </c>
      <c r="Z90" s="49">
        <v>0</v>
      </c>
      <c r="AA90" s="49">
        <v>0</v>
      </c>
      <c r="AB90" s="49">
        <v>0</v>
      </c>
      <c r="AC90" s="31">
        <v>0</v>
      </c>
      <c r="AD90" s="28">
        <f t="shared" si="144"/>
        <v>0</v>
      </c>
      <c r="AE90" s="52">
        <f>78+78</f>
        <v>156</v>
      </c>
      <c r="AF90" s="52">
        <f>+(0)+(0)+(0)+(0)+(54)+(162)</f>
        <v>216</v>
      </c>
      <c r="AG90" s="49">
        <v>120</v>
      </c>
      <c r="AH90" s="22">
        <f>+AD90+(AE90+AF90)-AG90</f>
        <v>252</v>
      </c>
      <c r="AI90" s="52">
        <f>+(0)+(0)+(0)+(0)+(78)+(0)</f>
        <v>78</v>
      </c>
      <c r="AJ90" s="52">
        <f>+(78)+(0)+(0)+(0)+(0)+(0)</f>
        <v>78</v>
      </c>
      <c r="AK90" s="49">
        <v>120</v>
      </c>
      <c r="AL90" s="31">
        <f t="shared" si="145"/>
        <v>288</v>
      </c>
      <c r="AM90" s="52">
        <f t="shared" si="48"/>
        <v>0</v>
      </c>
      <c r="AN90" s="52">
        <f>+(0)+(0)+(0)+(0)+(0)+(96)</f>
        <v>96</v>
      </c>
      <c r="AO90" s="72">
        <v>120</v>
      </c>
      <c r="AP90" s="74">
        <f>+AL90+AM90+AN90-AO90</f>
        <v>264</v>
      </c>
      <c r="AQ90" s="76">
        <f>+(0)+(0)+(0)+(0)+(54)+(0)</f>
        <v>54</v>
      </c>
      <c r="AR90" s="76">
        <f t="shared" si="49"/>
        <v>0</v>
      </c>
      <c r="AS90" s="74">
        <v>120</v>
      </c>
      <c r="AT90" s="74">
        <f>+AP90+AQ90+AR90-AS90</f>
        <v>198</v>
      </c>
      <c r="AU90" s="73">
        <f t="shared" si="104"/>
        <v>0</v>
      </c>
      <c r="AV90" s="73">
        <f>+(0)+(0)+(96)+(0)+(0)+(0)+(0)+(0)</f>
        <v>96</v>
      </c>
      <c r="AW90" s="73">
        <v>120</v>
      </c>
      <c r="AX90" s="73">
        <f t="shared" si="134"/>
        <v>174</v>
      </c>
      <c r="AY90" s="109">
        <f>+(0)+(0)+(0)+(108.6)</f>
        <v>108.6</v>
      </c>
      <c r="AZ90" s="109">
        <f t="shared" si="111"/>
        <v>0</v>
      </c>
      <c r="BA90" s="61">
        <v>120</v>
      </c>
      <c r="BB90" s="61">
        <f t="shared" si="77"/>
        <v>162.60000000000002</v>
      </c>
      <c r="BD90" s="88">
        <v>0</v>
      </c>
      <c r="BE90" s="88">
        <v>0</v>
      </c>
      <c r="BF90" s="88">
        <v>0</v>
      </c>
      <c r="BG90" s="88">
        <v>0</v>
      </c>
      <c r="BH90" s="88">
        <v>0</v>
      </c>
      <c r="BI90" s="88">
        <v>0</v>
      </c>
      <c r="BJ90" s="88">
        <v>0</v>
      </c>
      <c r="BK90" s="88">
        <v>0</v>
      </c>
      <c r="BL90" s="88">
        <v>0</v>
      </c>
      <c r="BM90" s="88">
        <v>0</v>
      </c>
      <c r="BN90" s="88">
        <v>0</v>
      </c>
      <c r="BO90" s="88">
        <v>0</v>
      </c>
      <c r="BP90" s="210">
        <v>120</v>
      </c>
      <c r="BQ90" s="208">
        <f t="shared" si="112"/>
        <v>42.600000000000023</v>
      </c>
      <c r="BR90" s="175">
        <f t="shared" si="106"/>
        <v>840</v>
      </c>
    </row>
    <row r="91" spans="1:70" ht="25.8" thickBot="1" x14ac:dyDescent="0.65">
      <c r="A91" s="64">
        <v>83</v>
      </c>
      <c r="B91" s="90" t="s">
        <v>60</v>
      </c>
      <c r="C91" s="91" t="s">
        <v>20</v>
      </c>
      <c r="D91" s="101" t="s">
        <v>136</v>
      </c>
      <c r="E91" s="92">
        <v>15</v>
      </c>
      <c r="F91" s="93">
        <f t="shared" si="143"/>
        <v>7999.9500000000007</v>
      </c>
      <c r="G91" s="93">
        <f t="shared" si="103"/>
        <v>4500</v>
      </c>
      <c r="H91" s="94">
        <f t="shared" si="84"/>
        <v>12499.95</v>
      </c>
      <c r="I91" s="95">
        <v>1</v>
      </c>
      <c r="J91" s="88">
        <v>1</v>
      </c>
      <c r="L91" s="100"/>
      <c r="M91" s="96"/>
      <c r="N91" s="97" t="s">
        <v>25</v>
      </c>
      <c r="W91" s="1" t="s">
        <v>60</v>
      </c>
      <c r="X91" s="50">
        <v>3057</v>
      </c>
      <c r="Y91" s="48">
        <v>150</v>
      </c>
      <c r="Z91" s="49">
        <v>150</v>
      </c>
      <c r="AA91" s="49">
        <v>150</v>
      </c>
      <c r="AB91" s="49">
        <v>150</v>
      </c>
      <c r="AC91" s="31">
        <v>252</v>
      </c>
      <c r="AD91" s="28">
        <f t="shared" si="144"/>
        <v>102</v>
      </c>
      <c r="AE91" s="52">
        <v>450</v>
      </c>
      <c r="AF91" s="52">
        <f>+(0)+(0)+(0)+(0)+(0)+(108)</f>
        <v>108</v>
      </c>
      <c r="AG91" s="49">
        <v>150</v>
      </c>
      <c r="AH91" s="22">
        <f>+AD91+(AE91+AF91)-AG91</f>
        <v>510</v>
      </c>
      <c r="AI91" s="52">
        <f t="shared" si="47"/>
        <v>0</v>
      </c>
      <c r="AJ91" s="52">
        <f>+(78)+(0)+(120)+(0)+(78)+(0)</f>
        <v>276</v>
      </c>
      <c r="AK91" s="49">
        <v>150</v>
      </c>
      <c r="AL91" s="31">
        <f t="shared" si="145"/>
        <v>636</v>
      </c>
      <c r="AM91" s="52">
        <f t="shared" si="48"/>
        <v>0</v>
      </c>
      <c r="AN91" s="52">
        <f>+(0)+(0)+(108)+(0)+(0)+(0)</f>
        <v>108</v>
      </c>
      <c r="AO91" s="72">
        <v>150</v>
      </c>
      <c r="AP91" s="74">
        <f t="shared" ref="AP91:AP97" si="149">+AL91+AM91+AN91-AO91</f>
        <v>594</v>
      </c>
      <c r="AQ91" s="76">
        <f>+(0)+(0)+(0)+(0)+(54)+(0)</f>
        <v>54</v>
      </c>
      <c r="AR91" s="76">
        <f t="shared" si="49"/>
        <v>0</v>
      </c>
      <c r="AS91" s="74">
        <v>150</v>
      </c>
      <c r="AT91" s="74">
        <f t="shared" ref="AT91:AT97" si="150">+AP91+AQ91+AR91-AS91</f>
        <v>498</v>
      </c>
      <c r="AU91" s="73">
        <f t="shared" si="104"/>
        <v>0</v>
      </c>
      <c r="AV91" s="73">
        <f t="shared" si="110"/>
        <v>0</v>
      </c>
      <c r="AW91" s="73">
        <v>150</v>
      </c>
      <c r="AX91" s="73">
        <f t="shared" si="134"/>
        <v>348</v>
      </c>
      <c r="AY91" s="109">
        <f t="shared" si="123"/>
        <v>0</v>
      </c>
      <c r="AZ91" s="109">
        <f t="shared" si="111"/>
        <v>0</v>
      </c>
      <c r="BA91" s="61">
        <v>93</v>
      </c>
      <c r="BB91" s="61">
        <f t="shared" si="77"/>
        <v>255</v>
      </c>
      <c r="BD91" s="88">
        <v>0</v>
      </c>
      <c r="BE91" s="88">
        <v>0</v>
      </c>
      <c r="BF91" s="88">
        <v>0</v>
      </c>
      <c r="BG91" s="88">
        <v>0</v>
      </c>
      <c r="BH91" s="88">
        <v>0</v>
      </c>
      <c r="BI91" s="88">
        <v>0</v>
      </c>
      <c r="BJ91" s="88">
        <v>0</v>
      </c>
      <c r="BK91" s="88">
        <v>0</v>
      </c>
      <c r="BL91" s="88">
        <v>0</v>
      </c>
      <c r="BM91" s="88">
        <v>0</v>
      </c>
      <c r="BN91" s="88">
        <v>0</v>
      </c>
      <c r="BO91" s="88">
        <v>0</v>
      </c>
      <c r="BP91" s="210">
        <v>0</v>
      </c>
      <c r="BQ91" s="208">
        <f t="shared" si="112"/>
        <v>255</v>
      </c>
      <c r="BR91" s="175">
        <f t="shared" si="106"/>
        <v>4500</v>
      </c>
    </row>
    <row r="92" spans="1:70" ht="25.8" thickBot="1" x14ac:dyDescent="0.65">
      <c r="A92" s="64">
        <v>84</v>
      </c>
      <c r="B92" s="166" t="s">
        <v>61</v>
      </c>
      <c r="C92" s="156" t="s">
        <v>171</v>
      </c>
      <c r="D92" s="166" t="s">
        <v>137</v>
      </c>
      <c r="E92" s="168">
        <v>10</v>
      </c>
      <c r="F92" s="160">
        <f t="shared" si="143"/>
        <v>5333.3</v>
      </c>
      <c r="G92" s="160">
        <f t="shared" si="103"/>
        <v>2391.6</v>
      </c>
      <c r="H92" s="161">
        <f t="shared" si="84"/>
        <v>7724.9</v>
      </c>
      <c r="I92" s="162">
        <v>5</v>
      </c>
      <c r="J92" s="88">
        <v>5</v>
      </c>
      <c r="K92" s="212" t="s">
        <v>315</v>
      </c>
      <c r="L92" s="169">
        <v>46478</v>
      </c>
      <c r="M92" s="164"/>
      <c r="N92" s="165" t="str">
        <f ca="1">IF($B$2&lt;L92,"O.K.","A L E R T A ")</f>
        <v>O.K.</v>
      </c>
      <c r="W92" s="1" t="s">
        <v>61</v>
      </c>
      <c r="X92" s="50">
        <v>1200</v>
      </c>
      <c r="Y92" s="48">
        <v>120</v>
      </c>
      <c r="Z92" s="49">
        <v>108</v>
      </c>
      <c r="AA92" s="49">
        <v>120</v>
      </c>
      <c r="AB92" s="49">
        <v>78</v>
      </c>
      <c r="AC92" s="31">
        <v>78</v>
      </c>
      <c r="AD92" s="28">
        <f t="shared" si="144"/>
        <v>0</v>
      </c>
      <c r="AE92" s="52">
        <v>54.6</v>
      </c>
      <c r="AF92" s="52">
        <f>+(0)+(0)+(0)+(0)+(54)+(54)</f>
        <v>108</v>
      </c>
      <c r="AG92" s="49">
        <v>120</v>
      </c>
      <c r="AH92" s="22">
        <f t="shared" ref="AH92:AH97" si="151">+AD92+(AE92+AF92)-AG92</f>
        <v>42.599999999999994</v>
      </c>
      <c r="AI92" s="52">
        <f t="shared" si="47"/>
        <v>0</v>
      </c>
      <c r="AJ92" s="52">
        <f>+(0)+(0)+(0)+(0)+(0)+(21)</f>
        <v>21</v>
      </c>
      <c r="AK92" s="49">
        <v>63.6</v>
      </c>
      <c r="AL92" s="31">
        <f t="shared" si="145"/>
        <v>0</v>
      </c>
      <c r="AM92" s="52">
        <f>+(0)+(0)+(0)+(0)+(0)+(30)</f>
        <v>30</v>
      </c>
      <c r="AN92" s="52">
        <f>+(0)+(174)+(0)+(0)+(30)+(0)</f>
        <v>204</v>
      </c>
      <c r="AO92" s="72">
        <v>120</v>
      </c>
      <c r="AP92" s="74">
        <f t="shared" si="149"/>
        <v>114</v>
      </c>
      <c r="AQ92" s="76">
        <f t="shared" si="49"/>
        <v>0</v>
      </c>
      <c r="AR92" s="76">
        <f>+(0)+(108)+(0)+(0)+(0)+(0)</f>
        <v>108</v>
      </c>
      <c r="AS92" s="74">
        <v>120</v>
      </c>
      <c r="AT92" s="74">
        <f t="shared" si="150"/>
        <v>102</v>
      </c>
      <c r="AU92" s="73">
        <f t="shared" si="104"/>
        <v>0</v>
      </c>
      <c r="AV92" s="73">
        <f t="shared" si="110"/>
        <v>0</v>
      </c>
      <c r="AW92" s="73">
        <v>102</v>
      </c>
      <c r="AX92" s="73">
        <f t="shared" si="134"/>
        <v>0</v>
      </c>
      <c r="AY92" s="109">
        <f t="shared" si="123"/>
        <v>0</v>
      </c>
      <c r="AZ92" s="109">
        <f>+(0)+(0)+(0)+(0)+(132.6)+(78)+(0)+(78)</f>
        <v>288.60000000000002</v>
      </c>
      <c r="BA92" s="61">
        <v>120</v>
      </c>
      <c r="BB92" s="61">
        <f t="shared" si="77"/>
        <v>168.60000000000002</v>
      </c>
      <c r="BD92" s="88">
        <v>0</v>
      </c>
      <c r="BE92" s="88">
        <v>0</v>
      </c>
      <c r="BF92" s="88">
        <v>0</v>
      </c>
      <c r="BG92" s="88">
        <v>0</v>
      </c>
      <c r="BH92" s="88">
        <v>0</v>
      </c>
      <c r="BI92" s="88">
        <v>0</v>
      </c>
      <c r="BJ92" s="88">
        <v>0</v>
      </c>
      <c r="BK92" s="88">
        <v>0</v>
      </c>
      <c r="BL92" s="88">
        <v>0</v>
      </c>
      <c r="BM92" s="88">
        <v>0</v>
      </c>
      <c r="BN92" s="88">
        <v>0</v>
      </c>
      <c r="BO92" s="88">
        <v>0</v>
      </c>
      <c r="BP92" s="210">
        <v>120</v>
      </c>
      <c r="BQ92" s="208">
        <f t="shared" si="112"/>
        <v>48.600000000000023</v>
      </c>
      <c r="BR92" s="175">
        <f t="shared" si="106"/>
        <v>2391.6</v>
      </c>
    </row>
    <row r="93" spans="1:70" ht="25.8" thickBot="1" x14ac:dyDescent="0.65">
      <c r="A93" s="64">
        <v>85</v>
      </c>
      <c r="B93" s="166" t="s">
        <v>179</v>
      </c>
      <c r="C93" s="156" t="s">
        <v>23</v>
      </c>
      <c r="D93" s="167">
        <v>42136</v>
      </c>
      <c r="E93" s="168">
        <v>5</v>
      </c>
      <c r="F93" s="160">
        <f>+E93*$C$1</f>
        <v>2666.65</v>
      </c>
      <c r="G93" s="160">
        <f>+BR93</f>
        <v>1296</v>
      </c>
      <c r="H93" s="161">
        <f>+F93+G93</f>
        <v>3962.65</v>
      </c>
      <c r="I93" s="162">
        <v>10</v>
      </c>
      <c r="J93" s="88">
        <v>10</v>
      </c>
      <c r="L93" s="169">
        <v>46518</v>
      </c>
      <c r="M93" s="164"/>
      <c r="N93" s="165" t="str">
        <f ca="1">IF($B$2&lt;L93,"O.K.","A L E R T A ")</f>
        <v>O.K.</v>
      </c>
      <c r="W93" s="1" t="s">
        <v>179</v>
      </c>
      <c r="X93" s="50">
        <v>0</v>
      </c>
      <c r="Y93" s="48">
        <v>96</v>
      </c>
      <c r="Z93" s="49">
        <v>120</v>
      </c>
      <c r="AA93" s="49">
        <v>120</v>
      </c>
      <c r="AB93" s="49">
        <v>120</v>
      </c>
      <c r="AC93" s="31">
        <v>156</v>
      </c>
      <c r="AD93" s="28">
        <f t="shared" si="144"/>
        <v>36</v>
      </c>
      <c r="AE93" s="52">
        <v>78</v>
      </c>
      <c r="AF93" s="52">
        <f>+(0)+(0)+(0)+(0)+(54)+(54)</f>
        <v>108</v>
      </c>
      <c r="AG93" s="49">
        <v>120</v>
      </c>
      <c r="AH93" s="22">
        <f t="shared" si="151"/>
        <v>102</v>
      </c>
      <c r="AI93" s="52">
        <f>+(0)+(0)+(0)+(0)+(78)+(0)</f>
        <v>78</v>
      </c>
      <c r="AJ93" s="52">
        <f>+(0)+(216)+(264)+(0)+(0)+(0)</f>
        <v>480</v>
      </c>
      <c r="AK93" s="49">
        <v>120</v>
      </c>
      <c r="AL93" s="31">
        <f t="shared" si="145"/>
        <v>540</v>
      </c>
      <c r="AM93" s="52">
        <f t="shared" si="48"/>
        <v>0</v>
      </c>
      <c r="AN93" s="52">
        <f>+(0)+(0)+(0)+(0)+(0)+(108)</f>
        <v>108</v>
      </c>
      <c r="AO93" s="72">
        <v>120</v>
      </c>
      <c r="AP93" s="74">
        <f t="shared" si="149"/>
        <v>528</v>
      </c>
      <c r="AQ93" s="76">
        <f>+(0)+(0)+(0)+(0)+(186)+(0)</f>
        <v>186</v>
      </c>
      <c r="AR93" s="76">
        <f t="shared" si="49"/>
        <v>0</v>
      </c>
      <c r="AS93" s="74">
        <v>120</v>
      </c>
      <c r="AT93" s="74">
        <f t="shared" si="150"/>
        <v>594</v>
      </c>
      <c r="AU93" s="73">
        <f t="shared" si="104"/>
        <v>0</v>
      </c>
      <c r="AV93" s="73">
        <f t="shared" si="110"/>
        <v>0</v>
      </c>
      <c r="AW93" s="73">
        <v>120</v>
      </c>
      <c r="AX93" s="73">
        <f t="shared" si="134"/>
        <v>474</v>
      </c>
      <c r="AY93" s="109">
        <f t="shared" si="123"/>
        <v>0</v>
      </c>
      <c r="AZ93" s="109">
        <f>+(0)+(0)+(0)+(0)+(108)+(78)+(78)+(0)</f>
        <v>264</v>
      </c>
      <c r="BA93" s="61">
        <v>120</v>
      </c>
      <c r="BB93" s="61">
        <f t="shared" si="77"/>
        <v>618</v>
      </c>
      <c r="BD93" s="88">
        <v>0</v>
      </c>
      <c r="BE93" s="88">
        <v>0</v>
      </c>
      <c r="BF93" s="88">
        <v>0</v>
      </c>
      <c r="BG93" s="88">
        <v>0</v>
      </c>
      <c r="BH93" s="88">
        <v>0</v>
      </c>
      <c r="BI93" s="88">
        <v>0</v>
      </c>
      <c r="BJ93" s="88">
        <v>0</v>
      </c>
      <c r="BK93" s="88">
        <v>0</v>
      </c>
      <c r="BL93" s="88">
        <v>0</v>
      </c>
      <c r="BM93" s="88">
        <v>0</v>
      </c>
      <c r="BN93" s="88">
        <v>0</v>
      </c>
      <c r="BO93" s="88">
        <v>0</v>
      </c>
      <c r="BP93" s="210">
        <v>120</v>
      </c>
      <c r="BQ93" s="208">
        <f t="shared" si="112"/>
        <v>498</v>
      </c>
      <c r="BR93" s="175">
        <f t="shared" si="106"/>
        <v>1296</v>
      </c>
    </row>
    <row r="94" spans="1:70" ht="25.8" thickBot="1" x14ac:dyDescent="0.65">
      <c r="A94" s="64">
        <v>86</v>
      </c>
      <c r="B94" s="112" t="s">
        <v>181</v>
      </c>
      <c r="C94" s="113" t="s">
        <v>20</v>
      </c>
      <c r="D94" s="114">
        <v>41827</v>
      </c>
      <c r="E94" s="115">
        <v>5</v>
      </c>
      <c r="F94" s="116">
        <f t="shared" si="143"/>
        <v>2666.65</v>
      </c>
      <c r="G94" s="116">
        <f t="shared" si="103"/>
        <v>1560</v>
      </c>
      <c r="H94" s="117">
        <f t="shared" si="84"/>
        <v>4226.6499999999996</v>
      </c>
      <c r="I94" s="118">
        <v>10</v>
      </c>
      <c r="J94" s="88">
        <v>10</v>
      </c>
      <c r="K94" s="212" t="s">
        <v>315</v>
      </c>
      <c r="L94" s="131">
        <v>46210</v>
      </c>
      <c r="M94" s="120"/>
      <c r="N94" s="121" t="str">
        <f ca="1">IF($B$2&lt;L94,"O.K.","A L E R T A ")</f>
        <v>O.K.</v>
      </c>
      <c r="W94" s="1" t="s">
        <v>181</v>
      </c>
      <c r="X94" s="50">
        <v>120</v>
      </c>
      <c r="Y94" s="48">
        <v>120</v>
      </c>
      <c r="Z94" s="49">
        <v>120</v>
      </c>
      <c r="AA94" s="49">
        <v>120</v>
      </c>
      <c r="AB94" s="49">
        <v>120</v>
      </c>
      <c r="AC94" s="31">
        <v>156</v>
      </c>
      <c r="AD94" s="28">
        <f t="shared" si="144"/>
        <v>36</v>
      </c>
      <c r="AE94" s="52">
        <f>78+91.8</f>
        <v>169.8</v>
      </c>
      <c r="AF94" s="52">
        <f>+(0)+(91.8)+(0)+(0)+(54)+(54)</f>
        <v>199.8</v>
      </c>
      <c r="AG94" s="49">
        <v>120</v>
      </c>
      <c r="AH94" s="22">
        <f t="shared" si="151"/>
        <v>285.60000000000002</v>
      </c>
      <c r="AI94" s="52">
        <f>+(0)+(0)+(0)+(0)+(78)+(0)</f>
        <v>78</v>
      </c>
      <c r="AJ94" s="52">
        <f>+(261.6)+(0)+(0)+(0)+(78)+(0)</f>
        <v>339.6</v>
      </c>
      <c r="AK94" s="49">
        <v>120</v>
      </c>
      <c r="AL94" s="31">
        <f t="shared" si="145"/>
        <v>583.20000000000005</v>
      </c>
      <c r="AM94" s="52">
        <f t="shared" si="48"/>
        <v>0</v>
      </c>
      <c r="AN94" s="52">
        <f>+(0)+(0)+(0)+(0)+(0)+(174)</f>
        <v>174</v>
      </c>
      <c r="AO94" s="72">
        <v>120</v>
      </c>
      <c r="AP94" s="74">
        <f t="shared" si="149"/>
        <v>637.20000000000005</v>
      </c>
      <c r="AQ94" s="76">
        <f>+(0)+(0)+(0)+(0)+(162)+(0)</f>
        <v>162</v>
      </c>
      <c r="AR94" s="76">
        <f>+(21)+(0)+(0)+(0)+(0)+(0)</f>
        <v>21</v>
      </c>
      <c r="AS94" s="74">
        <v>150</v>
      </c>
      <c r="AT94" s="74">
        <f t="shared" si="150"/>
        <v>670.2</v>
      </c>
      <c r="AU94" s="73">
        <f>+(0)+(0)+(0)+(192)</f>
        <v>192</v>
      </c>
      <c r="AV94" s="73">
        <f>+(0)+(78)+(0)+(0)+(30)+(54)+(0)+(108)</f>
        <v>270</v>
      </c>
      <c r="AW94" s="74">
        <v>150</v>
      </c>
      <c r="AX94" s="74">
        <f t="shared" si="134"/>
        <v>982.2</v>
      </c>
      <c r="AY94" s="109">
        <f>+(0)+(78)+(0)+(108)</f>
        <v>186</v>
      </c>
      <c r="AZ94" s="109">
        <f>+(51)+(54)+(96)+(0)+(0)+(0)+(0)+(0)</f>
        <v>201</v>
      </c>
      <c r="BA94" s="61">
        <v>150</v>
      </c>
      <c r="BB94" s="61">
        <f t="shared" si="77"/>
        <v>1219.2</v>
      </c>
      <c r="BD94" s="88">
        <v>0</v>
      </c>
      <c r="BE94" s="88">
        <v>0</v>
      </c>
      <c r="BF94" s="88">
        <v>0</v>
      </c>
      <c r="BG94" s="88">
        <v>0</v>
      </c>
      <c r="BH94" s="88">
        <v>0</v>
      </c>
      <c r="BI94" s="88">
        <v>0</v>
      </c>
      <c r="BJ94" s="88">
        <v>0</v>
      </c>
      <c r="BK94" s="88">
        <v>0</v>
      </c>
      <c r="BL94" s="88">
        <v>0</v>
      </c>
      <c r="BM94" s="88">
        <v>0</v>
      </c>
      <c r="BN94" s="88">
        <v>0</v>
      </c>
      <c r="BO94" s="88">
        <v>0</v>
      </c>
      <c r="BP94" s="210">
        <v>150</v>
      </c>
      <c r="BQ94" s="208">
        <f t="shared" si="112"/>
        <v>1069.2</v>
      </c>
      <c r="BR94" s="175">
        <f t="shared" si="106"/>
        <v>1560</v>
      </c>
    </row>
    <row r="95" spans="1:70" ht="25.8" thickBot="1" x14ac:dyDescent="0.65">
      <c r="A95" s="64">
        <v>87</v>
      </c>
      <c r="B95" s="112" t="s">
        <v>241</v>
      </c>
      <c r="C95" s="113" t="s">
        <v>21</v>
      </c>
      <c r="D95" s="114">
        <v>43285</v>
      </c>
      <c r="E95" s="115">
        <v>3</v>
      </c>
      <c r="F95" s="116">
        <f t="shared" si="143"/>
        <v>1599.9900000000002</v>
      </c>
      <c r="G95" s="116">
        <f t="shared" si="103"/>
        <v>1296</v>
      </c>
      <c r="H95" s="117">
        <f t="shared" si="84"/>
        <v>2895.9900000000002</v>
      </c>
      <c r="I95" s="118">
        <v>12</v>
      </c>
      <c r="J95" s="88">
        <v>12</v>
      </c>
      <c r="L95" s="131">
        <v>46207</v>
      </c>
      <c r="M95" s="120"/>
      <c r="N95" s="121" t="str">
        <f ca="1">IF($B$2&lt;L95,"O.K.","A L E R T A ")</f>
        <v>O.K.</v>
      </c>
      <c r="W95" s="1" t="s">
        <v>241</v>
      </c>
      <c r="X95" s="50">
        <v>0</v>
      </c>
      <c r="Y95" s="48">
        <v>0</v>
      </c>
      <c r="Z95" s="49">
        <v>0</v>
      </c>
      <c r="AA95" s="49">
        <v>96</v>
      </c>
      <c r="AB95" s="49">
        <v>150</v>
      </c>
      <c r="AC95" s="31">
        <v>156</v>
      </c>
      <c r="AD95" s="28">
        <f t="shared" si="144"/>
        <v>6</v>
      </c>
      <c r="AE95" s="52">
        <f>78+78+54</f>
        <v>210</v>
      </c>
      <c r="AF95" s="52">
        <f>+(54.6)+(0)+(0)+(0)+(54)+(162)</f>
        <v>270.60000000000002</v>
      </c>
      <c r="AG95" s="49">
        <v>150</v>
      </c>
      <c r="AH95" s="22">
        <f t="shared" si="151"/>
        <v>336.6</v>
      </c>
      <c r="AI95" s="52">
        <f>+(0)+(0)+(0)+(0)+(132.6)+(0)</f>
        <v>132.6</v>
      </c>
      <c r="AJ95" s="52">
        <f>+(75.6)+(0)+(0)+(0)+(0)+(0)</f>
        <v>75.599999999999994</v>
      </c>
      <c r="AK95" s="49">
        <v>150</v>
      </c>
      <c r="AL95" s="31">
        <f t="shared" si="145"/>
        <v>394.80000000000007</v>
      </c>
      <c r="AM95" s="52">
        <f>+(0)+(0)+(0)+(0)+(0)+(30)</f>
        <v>30</v>
      </c>
      <c r="AN95" s="52">
        <f t="shared" si="48"/>
        <v>0</v>
      </c>
      <c r="AO95" s="72">
        <v>150</v>
      </c>
      <c r="AP95" s="74">
        <f t="shared" si="149"/>
        <v>274.80000000000007</v>
      </c>
      <c r="AQ95" s="76">
        <f>+(0)+(0)+(0)+(0)+(54)+(0)</f>
        <v>54</v>
      </c>
      <c r="AR95" s="76">
        <f>+(240)+(0)+(0)+(0)+(0)+(0)</f>
        <v>240</v>
      </c>
      <c r="AS95" s="74">
        <v>150</v>
      </c>
      <c r="AT95" s="74">
        <f t="shared" si="150"/>
        <v>418.80000000000007</v>
      </c>
      <c r="AU95" s="73">
        <f>+(0)+(0)+(0)+(156)</f>
        <v>156</v>
      </c>
      <c r="AV95" s="73">
        <f>+(78)+(0)+(96)+(0)+(198)+(0)+(0)+(0)</f>
        <v>372</v>
      </c>
      <c r="AW95" s="73">
        <v>150</v>
      </c>
      <c r="AX95" s="73">
        <f t="shared" si="134"/>
        <v>796.80000000000007</v>
      </c>
      <c r="AY95" s="109">
        <f t="shared" si="123"/>
        <v>0</v>
      </c>
      <c r="AZ95" s="109">
        <f>+(0)+(0)+(120)+(0)+(0)+(0)+(0)+(0)</f>
        <v>120</v>
      </c>
      <c r="BA95" s="61">
        <v>150</v>
      </c>
      <c r="BB95" s="61">
        <f t="shared" si="77"/>
        <v>766.80000000000007</v>
      </c>
      <c r="BD95" s="88">
        <v>0</v>
      </c>
      <c r="BE95" s="88">
        <v>0</v>
      </c>
      <c r="BF95" s="88">
        <v>0</v>
      </c>
      <c r="BG95" s="88">
        <v>0</v>
      </c>
      <c r="BH95" s="88">
        <v>0</v>
      </c>
      <c r="BI95" s="88">
        <v>0</v>
      </c>
      <c r="BJ95" s="88">
        <v>0</v>
      </c>
      <c r="BK95" s="88">
        <v>0</v>
      </c>
      <c r="BL95" s="88">
        <v>0</v>
      </c>
      <c r="BM95" s="88">
        <v>0</v>
      </c>
      <c r="BN95" s="88">
        <v>0</v>
      </c>
      <c r="BO95" s="88">
        <v>0</v>
      </c>
      <c r="BP95" s="210">
        <v>150</v>
      </c>
      <c r="BQ95" s="208">
        <f t="shared" si="112"/>
        <v>616.80000000000007</v>
      </c>
      <c r="BR95" s="175">
        <f t="shared" si="106"/>
        <v>1296</v>
      </c>
    </row>
    <row r="96" spans="1:70" ht="25.8" thickBot="1" x14ac:dyDescent="0.65">
      <c r="A96" s="64">
        <v>88</v>
      </c>
      <c r="B96" s="166" t="s">
        <v>285</v>
      </c>
      <c r="C96" s="156" t="s">
        <v>20</v>
      </c>
      <c r="D96" s="166" t="s">
        <v>124</v>
      </c>
      <c r="E96" s="168">
        <v>7</v>
      </c>
      <c r="F96" s="160">
        <f t="shared" si="143"/>
        <v>3733.3100000000004</v>
      </c>
      <c r="G96" s="160">
        <f t="shared" si="103"/>
        <v>2400</v>
      </c>
      <c r="H96" s="161">
        <f t="shared" si="84"/>
        <v>6133.31</v>
      </c>
      <c r="I96" s="162">
        <v>8</v>
      </c>
      <c r="J96" s="88">
        <v>8</v>
      </c>
      <c r="L96" s="169">
        <v>46453</v>
      </c>
      <c r="M96" s="164"/>
      <c r="N96" s="165" t="str">
        <f ca="1">IF($B$2&lt;L96,"O.K.","A L E R T A ")</f>
        <v>O.K.</v>
      </c>
      <c r="W96" s="1" t="s">
        <v>285</v>
      </c>
      <c r="X96" s="50">
        <v>750</v>
      </c>
      <c r="Y96" s="48">
        <v>150</v>
      </c>
      <c r="Z96" s="49">
        <v>150</v>
      </c>
      <c r="AA96" s="49">
        <v>150</v>
      </c>
      <c r="AB96" s="49">
        <v>150</v>
      </c>
      <c r="AC96" s="31">
        <v>210</v>
      </c>
      <c r="AD96" s="28">
        <f t="shared" si="144"/>
        <v>60</v>
      </c>
      <c r="AE96" s="52">
        <f>132+78</f>
        <v>210</v>
      </c>
      <c r="AF96" s="52">
        <f>+(0)+(0)+(108)+(78)+(54)+(162)</f>
        <v>402</v>
      </c>
      <c r="AG96" s="49">
        <v>150</v>
      </c>
      <c r="AH96" s="22">
        <f t="shared" si="151"/>
        <v>522</v>
      </c>
      <c r="AI96" s="52">
        <f t="shared" si="47"/>
        <v>0</v>
      </c>
      <c r="AJ96" s="52">
        <f>+(0)+(156)+(0)+(0)+(0)+(0)</f>
        <v>156</v>
      </c>
      <c r="AK96" s="49">
        <v>150</v>
      </c>
      <c r="AL96" s="31">
        <f t="shared" si="145"/>
        <v>528</v>
      </c>
      <c r="AM96" s="52">
        <f>+(0)+(0)+(0)+(0)+(0)+(84)</f>
        <v>84</v>
      </c>
      <c r="AN96" s="52">
        <f t="shared" si="48"/>
        <v>0</v>
      </c>
      <c r="AO96" s="72">
        <v>150</v>
      </c>
      <c r="AP96" s="74">
        <f t="shared" si="149"/>
        <v>462</v>
      </c>
      <c r="AQ96" s="76">
        <f>+(228)+(0)+(0)+(0)+(54)+(0)</f>
        <v>282</v>
      </c>
      <c r="AR96" s="76">
        <f>+(120)+(96)+(0)+(0)+(0)+(0)</f>
        <v>216</v>
      </c>
      <c r="AS96" s="74">
        <v>150</v>
      </c>
      <c r="AT96" s="74">
        <f t="shared" si="150"/>
        <v>810</v>
      </c>
      <c r="AU96" s="73">
        <f>+(0)+(0)+(0)+(204)</f>
        <v>204</v>
      </c>
      <c r="AV96" s="73">
        <f>+(0)+(0)+(0)+(0)+(0)+(0)+(108)+(0)</f>
        <v>108</v>
      </c>
      <c r="AW96" s="73">
        <v>150</v>
      </c>
      <c r="AX96" s="73">
        <f t="shared" si="134"/>
        <v>972</v>
      </c>
      <c r="AY96" s="109">
        <f>+(78)+(30)+(0)+(156)</f>
        <v>264</v>
      </c>
      <c r="AZ96" s="109">
        <f>+(0)+(96)+(78)+(0)+(0)+(0)+(0)+(54.6)</f>
        <v>228.6</v>
      </c>
      <c r="BA96" s="61">
        <v>150</v>
      </c>
      <c r="BB96" s="61">
        <f t="shared" si="77"/>
        <v>1314.6</v>
      </c>
      <c r="BD96" s="88">
        <v>0</v>
      </c>
      <c r="BE96" s="153">
        <v>132.6</v>
      </c>
      <c r="BF96" s="88">
        <v>0</v>
      </c>
      <c r="BG96" s="88">
        <v>0</v>
      </c>
      <c r="BH96" s="88">
        <v>0</v>
      </c>
      <c r="BI96" s="88">
        <v>0</v>
      </c>
      <c r="BJ96" s="88">
        <v>0</v>
      </c>
      <c r="BK96" s="88">
        <v>0</v>
      </c>
      <c r="BL96" s="88">
        <v>0</v>
      </c>
      <c r="BM96" s="88">
        <v>0</v>
      </c>
      <c r="BN96" s="88">
        <v>0</v>
      </c>
      <c r="BO96" s="88">
        <v>0</v>
      </c>
      <c r="BP96" s="210">
        <v>150</v>
      </c>
      <c r="BQ96" s="208">
        <f t="shared" si="112"/>
        <v>1297.1999999999998</v>
      </c>
      <c r="BR96" s="175">
        <f t="shared" si="106"/>
        <v>2400</v>
      </c>
    </row>
    <row r="97" spans="1:70" ht="25.8" thickBot="1" x14ac:dyDescent="0.65">
      <c r="A97" s="64">
        <v>89</v>
      </c>
      <c r="B97" s="90" t="s">
        <v>277</v>
      </c>
      <c r="C97" s="91" t="s">
        <v>23</v>
      </c>
      <c r="D97" s="90" t="s">
        <v>278</v>
      </c>
      <c r="E97" s="92">
        <v>15</v>
      </c>
      <c r="F97" s="93">
        <f t="shared" si="143"/>
        <v>7999.9500000000007</v>
      </c>
      <c r="G97" s="93">
        <f t="shared" si="103"/>
        <v>3301.2</v>
      </c>
      <c r="H97" s="94">
        <f t="shared" si="84"/>
        <v>11301.150000000001</v>
      </c>
      <c r="I97" s="95">
        <v>1</v>
      </c>
      <c r="J97" s="88">
        <v>1</v>
      </c>
      <c r="L97" s="100"/>
      <c r="M97" s="96"/>
      <c r="N97" s="97" t="s">
        <v>25</v>
      </c>
      <c r="W97" s="1" t="s">
        <v>277</v>
      </c>
      <c r="X97" s="50">
        <v>2040</v>
      </c>
      <c r="Y97" s="48">
        <v>96</v>
      </c>
      <c r="Z97" s="49">
        <v>96</v>
      </c>
      <c r="AA97" s="49">
        <v>109.2</v>
      </c>
      <c r="AB97" s="49">
        <v>120</v>
      </c>
      <c r="AC97" s="31">
        <v>288.60000000000002</v>
      </c>
      <c r="AD97" s="28">
        <f t="shared" si="144"/>
        <v>168.60000000000002</v>
      </c>
      <c r="AE97" s="52">
        <v>132</v>
      </c>
      <c r="AF97" s="52">
        <f>+(37.8)+(78)+(0)+(0)+(54)+(54)</f>
        <v>223.8</v>
      </c>
      <c r="AG97" s="49">
        <v>120</v>
      </c>
      <c r="AH97" s="22">
        <f t="shared" si="151"/>
        <v>404.40000000000009</v>
      </c>
      <c r="AI97" s="52">
        <f>+(0)+(0)+(0)+(0)+(78)+(54.6)</f>
        <v>132.6</v>
      </c>
      <c r="AJ97" s="52">
        <f>+(75.6)+(0)+(0)+(0)+(0)+(0)</f>
        <v>75.599999999999994</v>
      </c>
      <c r="AK97" s="49">
        <v>120</v>
      </c>
      <c r="AL97" s="31">
        <f t="shared" si="145"/>
        <v>492.60000000000014</v>
      </c>
      <c r="AM97" s="52">
        <f t="shared" si="48"/>
        <v>0</v>
      </c>
      <c r="AN97" s="52">
        <f>+(0)+(0)+(0)+(0)+(0)+(108)</f>
        <v>108</v>
      </c>
      <c r="AO97" s="72">
        <v>120</v>
      </c>
      <c r="AP97" s="74">
        <f t="shared" si="149"/>
        <v>480.60000000000014</v>
      </c>
      <c r="AQ97" s="76">
        <f>+(0)+(0)+(0)+(0)+(54)+(120)</f>
        <v>174</v>
      </c>
      <c r="AR97" s="76">
        <f>+(0)+(204)+(0)+(0)+(0)+(0)</f>
        <v>204</v>
      </c>
      <c r="AS97" s="74">
        <v>120</v>
      </c>
      <c r="AT97" s="74">
        <f t="shared" si="150"/>
        <v>738.60000000000014</v>
      </c>
      <c r="AU97" s="73">
        <f t="shared" si="104"/>
        <v>0</v>
      </c>
      <c r="AV97" s="73">
        <f>+(30)+(0)+(96)+(0)+(0)+(0)+(0)+(0)</f>
        <v>126</v>
      </c>
      <c r="AW97" s="73">
        <v>120</v>
      </c>
      <c r="AX97" s="73">
        <f t="shared" si="134"/>
        <v>744.60000000000014</v>
      </c>
      <c r="AY97" s="109">
        <f>+(0)+(129)+(0)+(0)</f>
        <v>129</v>
      </c>
      <c r="AZ97" s="109">
        <f t="shared" si="111"/>
        <v>0</v>
      </c>
      <c r="BA97" s="61">
        <v>120</v>
      </c>
      <c r="BB97" s="61">
        <f t="shared" si="77"/>
        <v>753.60000000000014</v>
      </c>
      <c r="BD97" s="88">
        <v>0</v>
      </c>
      <c r="BE97" s="88">
        <v>0</v>
      </c>
      <c r="BF97" s="88">
        <v>0</v>
      </c>
      <c r="BG97" s="88">
        <v>0</v>
      </c>
      <c r="BH97" s="88">
        <v>0</v>
      </c>
      <c r="BI97" s="88">
        <v>0</v>
      </c>
      <c r="BJ97" s="88">
        <v>0</v>
      </c>
      <c r="BK97" s="88">
        <v>0</v>
      </c>
      <c r="BL97" s="88">
        <v>0</v>
      </c>
      <c r="BM97" s="88">
        <v>0</v>
      </c>
      <c r="BN97" s="88">
        <v>0</v>
      </c>
      <c r="BO97" s="88">
        <v>0</v>
      </c>
      <c r="BP97" s="210">
        <v>120</v>
      </c>
      <c r="BQ97" s="208">
        <f t="shared" si="112"/>
        <v>633.60000000000014</v>
      </c>
      <c r="BR97" s="175">
        <f t="shared" si="106"/>
        <v>3301.2</v>
      </c>
    </row>
    <row r="98" spans="1:70" ht="25.8" thickBot="1" x14ac:dyDescent="0.65">
      <c r="A98" s="64">
        <v>90</v>
      </c>
      <c r="B98" s="166" t="s">
        <v>333</v>
      </c>
      <c r="C98" s="156" t="s">
        <v>20</v>
      </c>
      <c r="D98" s="170">
        <v>44271</v>
      </c>
      <c r="E98" s="168">
        <v>2</v>
      </c>
      <c r="F98" s="160">
        <f t="shared" ref="F98:F100" si="152">+E98*$C$1</f>
        <v>1066.6600000000001</v>
      </c>
      <c r="G98" s="160">
        <f t="shared" ref="G98:G100" si="153">+BR98</f>
        <v>900</v>
      </c>
      <c r="H98" s="161">
        <f t="shared" ref="H98:H100" si="154">+F98+G98</f>
        <v>1966.66</v>
      </c>
      <c r="I98" s="162">
        <v>13</v>
      </c>
      <c r="J98" s="88">
        <v>13</v>
      </c>
      <c r="L98" s="169">
        <v>46462</v>
      </c>
      <c r="M98" s="164"/>
      <c r="N98" s="165" t="str">
        <f t="shared" ref="N98:N115" ca="1" si="155">IF($B$2&lt;L98,"O.K.","A L E R T A ")</f>
        <v>O.K.</v>
      </c>
      <c r="W98" s="1" t="s">
        <v>333</v>
      </c>
      <c r="X98" s="50">
        <v>0</v>
      </c>
      <c r="Y98" s="48">
        <v>0</v>
      </c>
      <c r="Z98" s="49">
        <v>0</v>
      </c>
      <c r="AA98" s="49">
        <v>0</v>
      </c>
      <c r="AB98" s="49">
        <v>0</v>
      </c>
      <c r="AC98" s="31">
        <v>0</v>
      </c>
      <c r="AD98" s="28">
        <f t="shared" si="144"/>
        <v>0</v>
      </c>
      <c r="AE98" s="52">
        <v>0</v>
      </c>
      <c r="AF98" s="52">
        <v>0</v>
      </c>
      <c r="AG98" s="49">
        <v>0</v>
      </c>
      <c r="AH98" s="22">
        <f t="shared" ref="AH98:AH126" si="156">+AD98+(AE98+AF98)-AG98</f>
        <v>0</v>
      </c>
      <c r="AI98" s="52">
        <f>+(0)+(0)+(0)+(0)+(156)+(0)</f>
        <v>156</v>
      </c>
      <c r="AJ98" s="52">
        <f>+(30)+(30)+(0)+(0)+(78)+(0)</f>
        <v>138</v>
      </c>
      <c r="AK98" s="49">
        <v>150</v>
      </c>
      <c r="AL98" s="31">
        <f t="shared" ref="AL98:AL126" si="157">+AH98+AI98+AJ98-AK98</f>
        <v>144</v>
      </c>
      <c r="AM98" s="52">
        <f>+(0)+(0)+(0)+(0)+(78)+(0)</f>
        <v>78</v>
      </c>
      <c r="AN98" s="52">
        <f>+(0)+(0)+(0)+(0)+(0)+(192)</f>
        <v>192</v>
      </c>
      <c r="AO98" s="72">
        <v>150</v>
      </c>
      <c r="AP98" s="74">
        <f t="shared" ref="AP98:AP126" si="158">+AL98+AM98+AN98-AO98</f>
        <v>264</v>
      </c>
      <c r="AQ98" s="76">
        <f>+(0)+(0)+(0)+(0)+(54)+(0)</f>
        <v>54</v>
      </c>
      <c r="AR98" s="76">
        <f>+(108)+(120)+(0)+(0)+(0)+(0)</f>
        <v>228</v>
      </c>
      <c r="AS98" s="74">
        <v>150</v>
      </c>
      <c r="AT98" s="74">
        <f>+AP98+AQ98+AR98-AS98</f>
        <v>396</v>
      </c>
      <c r="AU98" s="73">
        <f>+(0)+(0)+(0)+(216)</f>
        <v>216</v>
      </c>
      <c r="AV98" s="73">
        <f>+(0)+(0)+(0)+(108)+(0)+(0)+(30)+(0)</f>
        <v>138</v>
      </c>
      <c r="AW98" s="73">
        <v>150</v>
      </c>
      <c r="AX98" s="73">
        <f t="shared" si="134"/>
        <v>600</v>
      </c>
      <c r="AY98" s="109">
        <f>+(0)+(0)+(0)+(78)</f>
        <v>78</v>
      </c>
      <c r="AZ98" s="109">
        <f>+(0)+(108)+(0)+(0)+(0)+(0)+(0)+(0)</f>
        <v>108</v>
      </c>
      <c r="BA98" s="61">
        <v>150</v>
      </c>
      <c r="BB98" s="61">
        <f t="shared" si="77"/>
        <v>636</v>
      </c>
      <c r="BD98" s="88">
        <v>0</v>
      </c>
      <c r="BE98" s="88">
        <v>0</v>
      </c>
      <c r="BF98" s="88">
        <v>0</v>
      </c>
      <c r="BG98" s="88">
        <v>0</v>
      </c>
      <c r="BH98" s="88">
        <v>0</v>
      </c>
      <c r="BI98" s="88">
        <v>0</v>
      </c>
      <c r="BJ98" s="88">
        <v>0</v>
      </c>
      <c r="BK98" s="88">
        <v>0</v>
      </c>
      <c r="BL98" s="88">
        <v>0</v>
      </c>
      <c r="BM98" s="88">
        <v>0</v>
      </c>
      <c r="BN98" s="88">
        <v>0</v>
      </c>
      <c r="BO98" s="88">
        <v>0</v>
      </c>
      <c r="BP98" s="210">
        <v>150</v>
      </c>
      <c r="BQ98" s="208">
        <f t="shared" si="112"/>
        <v>486</v>
      </c>
      <c r="BR98" s="175">
        <f t="shared" si="106"/>
        <v>900</v>
      </c>
    </row>
    <row r="99" spans="1:70" ht="25.8" thickBot="1" x14ac:dyDescent="0.65">
      <c r="A99" s="64">
        <v>91</v>
      </c>
      <c r="B99" s="166" t="s">
        <v>484</v>
      </c>
      <c r="C99" s="156" t="s">
        <v>21</v>
      </c>
      <c r="D99" s="170">
        <v>45740</v>
      </c>
      <c r="E99" s="168">
        <v>0</v>
      </c>
      <c r="F99" s="160">
        <f t="shared" ref="F99" si="159">+E99*$C$1</f>
        <v>0</v>
      </c>
      <c r="G99" s="160">
        <f t="shared" ref="G99" si="160">+BR99</f>
        <v>0</v>
      </c>
      <c r="H99" s="161">
        <f t="shared" ref="H99" si="161">+F99+G99</f>
        <v>0</v>
      </c>
      <c r="I99" s="162">
        <v>15</v>
      </c>
      <c r="J99" s="88">
        <v>15</v>
      </c>
      <c r="L99" s="169">
        <v>46470</v>
      </c>
      <c r="M99" s="164"/>
      <c r="N99" s="165" t="str">
        <f t="shared" ca="1" si="155"/>
        <v>O.K.</v>
      </c>
      <c r="W99" s="1" t="s">
        <v>484</v>
      </c>
      <c r="X99" s="50"/>
      <c r="Y99" s="48"/>
      <c r="Z99" s="49"/>
      <c r="AA99" s="49"/>
      <c r="AB99" s="49"/>
      <c r="AC99" s="31"/>
      <c r="AD99" s="28"/>
      <c r="AE99" s="52"/>
      <c r="AF99" s="52"/>
      <c r="AG99" s="49"/>
      <c r="AH99" s="22"/>
      <c r="AI99" s="52"/>
      <c r="AJ99" s="52"/>
      <c r="AK99" s="49"/>
      <c r="AL99" s="31"/>
      <c r="AM99" s="52"/>
      <c r="AN99" s="52"/>
      <c r="AO99" s="72"/>
      <c r="AP99" s="74"/>
      <c r="AQ99" s="76"/>
      <c r="AR99" s="76"/>
      <c r="AS99" s="74"/>
      <c r="AT99" s="74"/>
      <c r="AU99" s="73"/>
      <c r="AV99" s="73"/>
      <c r="AW99" s="73"/>
      <c r="AX99" s="73"/>
      <c r="AY99" s="109">
        <f t="shared" si="123"/>
        <v>0</v>
      </c>
      <c r="AZ99" s="109">
        <f t="shared" si="111"/>
        <v>0</v>
      </c>
      <c r="BA99" s="61">
        <v>0</v>
      </c>
      <c r="BB99" s="61">
        <f t="shared" si="77"/>
        <v>0</v>
      </c>
      <c r="BD99" s="88">
        <v>0</v>
      </c>
      <c r="BE99" s="88">
        <v>0</v>
      </c>
      <c r="BF99" s="88">
        <v>0</v>
      </c>
      <c r="BG99" s="88">
        <v>0</v>
      </c>
      <c r="BH99" s="88">
        <v>0</v>
      </c>
      <c r="BI99" s="88">
        <v>0</v>
      </c>
      <c r="BJ99" s="88">
        <v>0</v>
      </c>
      <c r="BK99" s="88">
        <v>0</v>
      </c>
      <c r="BL99" s="88">
        <v>0</v>
      </c>
      <c r="BM99" s="88">
        <v>0</v>
      </c>
      <c r="BN99" s="88">
        <v>0</v>
      </c>
      <c r="BO99" s="88">
        <v>0</v>
      </c>
      <c r="BP99" s="210">
        <v>0</v>
      </c>
      <c r="BQ99" s="208">
        <f t="shared" si="112"/>
        <v>0</v>
      </c>
      <c r="BR99" s="175">
        <f t="shared" si="106"/>
        <v>0</v>
      </c>
    </row>
    <row r="100" spans="1:70" ht="25.8" thickBot="1" x14ac:dyDescent="0.65">
      <c r="A100" s="64">
        <v>92</v>
      </c>
      <c r="B100" s="166" t="s">
        <v>342</v>
      </c>
      <c r="C100" s="156" t="s">
        <v>171</v>
      </c>
      <c r="D100" s="170">
        <v>44501</v>
      </c>
      <c r="E100" s="168">
        <v>2</v>
      </c>
      <c r="F100" s="160">
        <f t="shared" si="152"/>
        <v>1066.6600000000001</v>
      </c>
      <c r="G100" s="160">
        <f t="shared" si="153"/>
        <v>600</v>
      </c>
      <c r="H100" s="161">
        <f t="shared" si="154"/>
        <v>1666.66</v>
      </c>
      <c r="I100" s="162">
        <v>13</v>
      </c>
      <c r="J100" s="88">
        <v>13</v>
      </c>
      <c r="L100" s="169">
        <v>46553</v>
      </c>
      <c r="M100" s="164"/>
      <c r="N100" s="165" t="str">
        <f t="shared" ca="1" si="155"/>
        <v>O.K.</v>
      </c>
      <c r="W100" s="1" t="s">
        <v>342</v>
      </c>
      <c r="X100" s="50">
        <v>0</v>
      </c>
      <c r="Y100" s="48">
        <v>0</v>
      </c>
      <c r="Z100" s="49">
        <v>0</v>
      </c>
      <c r="AA100" s="49">
        <v>0</v>
      </c>
      <c r="AB100" s="49">
        <v>0</v>
      </c>
      <c r="AC100" s="31">
        <v>0</v>
      </c>
      <c r="AD100" s="28">
        <f>+AC100-AB100</f>
        <v>0</v>
      </c>
      <c r="AE100" s="52">
        <v>0</v>
      </c>
      <c r="AF100" s="52">
        <v>0</v>
      </c>
      <c r="AG100" s="49">
        <v>0</v>
      </c>
      <c r="AH100" s="22">
        <f t="shared" si="156"/>
        <v>0</v>
      </c>
      <c r="AI100" s="52">
        <f t="shared" si="47"/>
        <v>0</v>
      </c>
      <c r="AJ100" s="52">
        <f t="shared" si="47"/>
        <v>0</v>
      </c>
      <c r="AK100" s="49">
        <v>0</v>
      </c>
      <c r="AL100" s="31">
        <f t="shared" si="157"/>
        <v>0</v>
      </c>
      <c r="AM100" s="52">
        <f t="shared" si="48"/>
        <v>0</v>
      </c>
      <c r="AN100" s="52">
        <f>+(0)+(78)+(0)+(0)+(0)+(96)</f>
        <v>174</v>
      </c>
      <c r="AO100" s="72">
        <v>120</v>
      </c>
      <c r="AP100" s="74">
        <f t="shared" si="158"/>
        <v>54</v>
      </c>
      <c r="AQ100" s="76">
        <f t="shared" si="49"/>
        <v>0</v>
      </c>
      <c r="AR100" s="76">
        <f>+(0)+(285.6)+(0)+(0)+(0)+(0)</f>
        <v>285.60000000000002</v>
      </c>
      <c r="AS100" s="74">
        <v>120</v>
      </c>
      <c r="AT100" s="74">
        <f>+AP100+AQ100+AR100-AS100</f>
        <v>219.60000000000002</v>
      </c>
      <c r="AU100" s="73">
        <f t="shared" si="104"/>
        <v>0</v>
      </c>
      <c r="AV100" s="73">
        <f>+(0)+(0)+(0)+(0)+(0)+(0)+(0)+(270)</f>
        <v>270</v>
      </c>
      <c r="AW100" s="74">
        <v>120</v>
      </c>
      <c r="AX100" s="74">
        <f t="shared" si="134"/>
        <v>369.6</v>
      </c>
      <c r="AY100" s="109">
        <f t="shared" si="123"/>
        <v>0</v>
      </c>
      <c r="AZ100" s="109">
        <f>+(0)+(0)+(0)+(0)+(51)+(150)+(0)+(21)</f>
        <v>222</v>
      </c>
      <c r="BA100" s="61">
        <v>120</v>
      </c>
      <c r="BB100" s="61">
        <f t="shared" si="77"/>
        <v>471.6</v>
      </c>
      <c r="BD100" s="88">
        <v>0</v>
      </c>
      <c r="BE100" s="88">
        <v>0</v>
      </c>
      <c r="BF100" s="88">
        <v>0</v>
      </c>
      <c r="BG100" s="88">
        <v>0</v>
      </c>
      <c r="BH100" s="88">
        <v>0</v>
      </c>
      <c r="BI100" s="88">
        <v>0</v>
      </c>
      <c r="BJ100" s="88">
        <v>0</v>
      </c>
      <c r="BK100" s="88">
        <v>0</v>
      </c>
      <c r="BL100" s="88">
        <v>0</v>
      </c>
      <c r="BM100" s="88">
        <v>0</v>
      </c>
      <c r="BN100" s="88">
        <v>0</v>
      </c>
      <c r="BO100" s="88">
        <v>0</v>
      </c>
      <c r="BP100" s="210">
        <v>120</v>
      </c>
      <c r="BQ100" s="208">
        <f t="shared" si="112"/>
        <v>351.6</v>
      </c>
      <c r="BR100" s="175">
        <f t="shared" si="106"/>
        <v>600</v>
      </c>
    </row>
    <row r="101" spans="1:70" ht="25.8" thickBot="1" x14ac:dyDescent="0.65">
      <c r="A101" s="64">
        <v>93</v>
      </c>
      <c r="B101" s="112" t="s">
        <v>243</v>
      </c>
      <c r="C101" s="113" t="s">
        <v>171</v>
      </c>
      <c r="D101" s="114">
        <v>43224</v>
      </c>
      <c r="E101" s="115">
        <v>3</v>
      </c>
      <c r="F101" s="116">
        <f t="shared" si="143"/>
        <v>1599.9900000000002</v>
      </c>
      <c r="G101" s="116">
        <f t="shared" si="103"/>
        <v>1056</v>
      </c>
      <c r="H101" s="117">
        <f t="shared" si="84"/>
        <v>2655.9900000000002</v>
      </c>
      <c r="I101" s="118">
        <v>12</v>
      </c>
      <c r="J101" s="88">
        <v>12</v>
      </c>
      <c r="L101" s="122">
        <v>46146</v>
      </c>
      <c r="M101" s="120"/>
      <c r="N101" s="121" t="str">
        <f t="shared" ca="1" si="155"/>
        <v>O.K.</v>
      </c>
      <c r="W101" s="1" t="s">
        <v>243</v>
      </c>
      <c r="X101" s="50">
        <v>0</v>
      </c>
      <c r="Y101" s="48">
        <v>0</v>
      </c>
      <c r="Z101" s="49">
        <v>0</v>
      </c>
      <c r="AA101" s="49">
        <v>96</v>
      </c>
      <c r="AB101" s="49">
        <v>120</v>
      </c>
      <c r="AC101" s="31">
        <v>156</v>
      </c>
      <c r="AD101" s="28">
        <f>+AC101-AB101</f>
        <v>36</v>
      </c>
      <c r="AE101" s="52">
        <f>162.6+54</f>
        <v>216.6</v>
      </c>
      <c r="AF101" s="52">
        <f>+(0)+(0)+(0)+(0)+(54)+(162)</f>
        <v>216</v>
      </c>
      <c r="AG101" s="49">
        <v>120</v>
      </c>
      <c r="AH101" s="22">
        <f t="shared" si="156"/>
        <v>348.6</v>
      </c>
      <c r="AI101" s="52">
        <f t="shared" si="47"/>
        <v>0</v>
      </c>
      <c r="AJ101" s="52">
        <f>+(426)+(78)+(78)+(0)+(0)+(0)</f>
        <v>582</v>
      </c>
      <c r="AK101" s="49">
        <v>120</v>
      </c>
      <c r="AL101" s="31">
        <f t="shared" si="157"/>
        <v>810.6</v>
      </c>
      <c r="AM101" s="52">
        <f t="shared" si="48"/>
        <v>0</v>
      </c>
      <c r="AN101" s="52">
        <f>+(0)+(0)+(0)+(0)+(60)+(96)</f>
        <v>156</v>
      </c>
      <c r="AO101" s="72">
        <v>120</v>
      </c>
      <c r="AP101" s="74">
        <f t="shared" si="158"/>
        <v>846.6</v>
      </c>
      <c r="AQ101" s="76">
        <f>+(0)+(0)+(0)+(0)+(108.6)+(0)</f>
        <v>108.6</v>
      </c>
      <c r="AR101" s="76">
        <f t="shared" si="49"/>
        <v>0</v>
      </c>
      <c r="AS101" s="74">
        <v>120</v>
      </c>
      <c r="AT101" s="74">
        <f>+AP101+AQ101+AR101-AS101</f>
        <v>835.2</v>
      </c>
      <c r="AU101" s="73">
        <f>+(96)+(0)+(0)+(0)</f>
        <v>96</v>
      </c>
      <c r="AV101" s="73">
        <f>+(81)+(0)+(96)+(0)+(0)+(0)+(85.8)+(0)</f>
        <v>262.8</v>
      </c>
      <c r="AW101" s="73">
        <v>120</v>
      </c>
      <c r="AX101" s="73">
        <f t="shared" ref="AX101:AX126" si="162">+AT101+AU101+AV101-AW101</f>
        <v>1074</v>
      </c>
      <c r="AY101" s="109">
        <f>+(0)+(0)+(0)+(75)</f>
        <v>75</v>
      </c>
      <c r="AZ101" s="109">
        <f>+(42)+(0)+(0)+(0)+(0)+(0)+(0)+(0)</f>
        <v>42</v>
      </c>
      <c r="BA101" s="61">
        <v>120</v>
      </c>
      <c r="BB101" s="61">
        <f t="shared" si="77"/>
        <v>1071</v>
      </c>
      <c r="BD101" s="88">
        <v>0</v>
      </c>
      <c r="BE101" s="88">
        <v>0</v>
      </c>
      <c r="BF101" s="88">
        <v>0</v>
      </c>
      <c r="BG101" s="88">
        <v>0</v>
      </c>
      <c r="BH101" s="88">
        <v>0</v>
      </c>
      <c r="BI101" s="88">
        <v>0</v>
      </c>
      <c r="BJ101" s="88">
        <v>0</v>
      </c>
      <c r="BK101" s="88">
        <v>0</v>
      </c>
      <c r="BL101" s="88">
        <v>0</v>
      </c>
      <c r="BM101" s="88">
        <v>0</v>
      </c>
      <c r="BN101" s="88">
        <v>0</v>
      </c>
      <c r="BO101" s="88">
        <v>0</v>
      </c>
      <c r="BP101" s="210">
        <v>120</v>
      </c>
      <c r="BQ101" s="208">
        <f t="shared" si="112"/>
        <v>951</v>
      </c>
      <c r="BR101" s="175">
        <f t="shared" si="106"/>
        <v>1056</v>
      </c>
    </row>
    <row r="102" spans="1:70" ht="25.8" thickBot="1" x14ac:dyDescent="0.65">
      <c r="A102" s="64">
        <v>94</v>
      </c>
      <c r="B102" s="166" t="s">
        <v>494</v>
      </c>
      <c r="C102" s="156" t="s">
        <v>23</v>
      </c>
      <c r="D102" s="167">
        <v>45806</v>
      </c>
      <c r="E102" s="168">
        <v>0</v>
      </c>
      <c r="F102" s="160">
        <f t="shared" si="143"/>
        <v>0</v>
      </c>
      <c r="G102" s="160">
        <f t="shared" ref="G102" si="163">+BR102</f>
        <v>0</v>
      </c>
      <c r="H102" s="161">
        <f t="shared" ref="H102" si="164">+F102+G102</f>
        <v>0</v>
      </c>
      <c r="I102" s="162">
        <v>15</v>
      </c>
      <c r="J102" s="88">
        <v>15</v>
      </c>
      <c r="L102" s="169">
        <v>46536</v>
      </c>
      <c r="M102" s="164"/>
      <c r="N102" s="165" t="str">
        <f t="shared" ca="1" si="155"/>
        <v>O.K.</v>
      </c>
      <c r="W102" s="1" t="s">
        <v>494</v>
      </c>
      <c r="X102" s="50"/>
      <c r="Y102" s="48"/>
      <c r="Z102" s="49"/>
      <c r="AA102" s="49"/>
      <c r="AB102" s="49"/>
      <c r="AC102" s="31"/>
      <c r="AD102" s="28"/>
      <c r="AE102" s="52"/>
      <c r="AF102" s="52"/>
      <c r="AG102" s="49"/>
      <c r="AH102" s="22"/>
      <c r="AI102" s="52"/>
      <c r="AJ102" s="52"/>
      <c r="AK102" s="49"/>
      <c r="AL102" s="31"/>
      <c r="AM102" s="52"/>
      <c r="AN102" s="52"/>
      <c r="AO102" s="72"/>
      <c r="AP102" s="74"/>
      <c r="AQ102" s="76"/>
      <c r="AR102" s="76"/>
      <c r="AS102" s="74"/>
      <c r="AT102" s="74"/>
      <c r="AU102" s="73"/>
      <c r="AV102" s="73"/>
      <c r="AW102" s="73"/>
      <c r="AX102" s="73"/>
      <c r="AY102" s="109">
        <f t="shared" si="123"/>
        <v>0</v>
      </c>
      <c r="AZ102" s="109">
        <f t="shared" si="111"/>
        <v>0</v>
      </c>
      <c r="BA102" s="61">
        <v>0</v>
      </c>
      <c r="BB102" s="61">
        <f t="shared" ref="BB102" si="165">(AX102+AY102+AZ102)-BA102</f>
        <v>0</v>
      </c>
      <c r="BD102" s="88">
        <v>0</v>
      </c>
      <c r="BE102" s="88">
        <v>0</v>
      </c>
      <c r="BF102" s="88">
        <v>0</v>
      </c>
      <c r="BG102" s="88">
        <v>0</v>
      </c>
      <c r="BH102" s="88">
        <v>0</v>
      </c>
      <c r="BI102" s="88">
        <v>0</v>
      </c>
      <c r="BJ102" s="88">
        <v>0</v>
      </c>
      <c r="BK102" s="88">
        <v>0</v>
      </c>
      <c r="BL102" s="88">
        <v>0</v>
      </c>
      <c r="BM102" s="88">
        <v>0</v>
      </c>
      <c r="BN102" s="88">
        <v>0</v>
      </c>
      <c r="BO102" s="88">
        <v>0</v>
      </c>
      <c r="BP102" s="210">
        <v>0</v>
      </c>
      <c r="BQ102" s="208">
        <f t="shared" si="112"/>
        <v>0</v>
      </c>
      <c r="BR102" s="175">
        <f t="shared" si="106"/>
        <v>0</v>
      </c>
    </row>
    <row r="103" spans="1:70" ht="25.8" thickBot="1" x14ac:dyDescent="0.65">
      <c r="A103" s="64">
        <v>95</v>
      </c>
      <c r="B103" s="112" t="s">
        <v>64</v>
      </c>
      <c r="C103" s="113" t="s">
        <v>23</v>
      </c>
      <c r="D103" s="124" t="s">
        <v>141</v>
      </c>
      <c r="E103" s="115">
        <v>6</v>
      </c>
      <c r="F103" s="116">
        <f t="shared" si="143"/>
        <v>3199.9800000000005</v>
      </c>
      <c r="G103" s="116">
        <f t="shared" si="103"/>
        <v>1894.3999999999999</v>
      </c>
      <c r="H103" s="117">
        <f>+F103+G103</f>
        <v>5094.38</v>
      </c>
      <c r="I103" s="118">
        <v>9</v>
      </c>
      <c r="J103" s="88">
        <v>9</v>
      </c>
      <c r="L103" s="122">
        <v>46181</v>
      </c>
      <c r="M103" s="120"/>
      <c r="N103" s="121" t="str">
        <f t="shared" ca="1" si="155"/>
        <v>O.K.</v>
      </c>
      <c r="W103" s="1" t="s">
        <v>64</v>
      </c>
      <c r="X103" s="50">
        <v>983</v>
      </c>
      <c r="Y103" s="48">
        <v>96</v>
      </c>
      <c r="Z103" s="49">
        <v>96</v>
      </c>
      <c r="AA103" s="49">
        <v>120</v>
      </c>
      <c r="AB103" s="49">
        <v>120</v>
      </c>
      <c r="AC103" s="31">
        <v>132.6</v>
      </c>
      <c r="AD103" s="28">
        <f t="shared" ref="AD103:AD107" si="166">+AC103-AB103</f>
        <v>12.599999999999994</v>
      </c>
      <c r="AE103" s="52">
        <v>0</v>
      </c>
      <c r="AF103" s="52">
        <f>+(0)+(78)+(0)+(0)+(54)+(54)</f>
        <v>186</v>
      </c>
      <c r="AG103" s="49">
        <v>120</v>
      </c>
      <c r="AH103" s="22">
        <f t="shared" si="156"/>
        <v>78.599999999999994</v>
      </c>
      <c r="AI103" s="52">
        <f t="shared" si="47"/>
        <v>0</v>
      </c>
      <c r="AJ103" s="52">
        <f t="shared" si="47"/>
        <v>0</v>
      </c>
      <c r="AK103" s="49">
        <v>78.599999999999994</v>
      </c>
      <c r="AL103" s="31">
        <f t="shared" si="157"/>
        <v>0</v>
      </c>
      <c r="AM103" s="52">
        <f t="shared" si="48"/>
        <v>0</v>
      </c>
      <c r="AN103" s="52">
        <f>+(0)+(0)+(0)+(0)+(0)+(108)</f>
        <v>108</v>
      </c>
      <c r="AO103" s="72">
        <v>108</v>
      </c>
      <c r="AP103" s="74">
        <f t="shared" si="158"/>
        <v>0</v>
      </c>
      <c r="AQ103" s="76">
        <f t="shared" si="49"/>
        <v>0</v>
      </c>
      <c r="AR103" s="76">
        <f>+(0)+(67.2)+(0)+(0)+(0)+(0)</f>
        <v>67.2</v>
      </c>
      <c r="AS103" s="74">
        <v>67.2</v>
      </c>
      <c r="AT103" s="74">
        <f>+AP103+AQ103+AR103-AS103</f>
        <v>0</v>
      </c>
      <c r="AU103" s="73">
        <f t="shared" si="104"/>
        <v>0</v>
      </c>
      <c r="AV103" s="73">
        <f t="shared" si="110"/>
        <v>0</v>
      </c>
      <c r="AW103" s="73">
        <v>0</v>
      </c>
      <c r="AX103" s="73">
        <f t="shared" si="162"/>
        <v>0</v>
      </c>
      <c r="AY103" s="109">
        <f t="shared" si="123"/>
        <v>0</v>
      </c>
      <c r="AZ103" s="109">
        <f t="shared" si="111"/>
        <v>0</v>
      </c>
      <c r="BA103" s="61">
        <v>0</v>
      </c>
      <c r="BB103" s="61">
        <f t="shared" si="77"/>
        <v>0</v>
      </c>
      <c r="BD103" s="153">
        <v>105.6</v>
      </c>
      <c r="BE103" s="88">
        <v>0</v>
      </c>
      <c r="BF103" s="88">
        <v>0</v>
      </c>
      <c r="BG103" s="88">
        <v>0</v>
      </c>
      <c r="BH103" s="88">
        <v>0</v>
      </c>
      <c r="BI103" s="88">
        <v>0</v>
      </c>
      <c r="BJ103" s="88">
        <v>0</v>
      </c>
      <c r="BK103" s="88">
        <v>0</v>
      </c>
      <c r="BL103" s="88">
        <v>0</v>
      </c>
      <c r="BM103" s="88">
        <v>0</v>
      </c>
      <c r="BN103" s="88">
        <v>0</v>
      </c>
      <c r="BO103" s="88">
        <v>0</v>
      </c>
      <c r="BP103" s="210">
        <v>105.6</v>
      </c>
      <c r="BQ103" s="208">
        <f t="shared" si="112"/>
        <v>0</v>
      </c>
      <c r="BR103" s="175">
        <f t="shared" si="106"/>
        <v>1894.3999999999999</v>
      </c>
    </row>
    <row r="104" spans="1:70" ht="25.8" thickBot="1" x14ac:dyDescent="0.65">
      <c r="A104" s="64">
        <v>96</v>
      </c>
      <c r="B104" s="112" t="s">
        <v>376</v>
      </c>
      <c r="C104" s="113" t="s">
        <v>21</v>
      </c>
      <c r="D104" s="123">
        <v>44896</v>
      </c>
      <c r="E104" s="115">
        <v>2</v>
      </c>
      <c r="F104" s="116">
        <f t="shared" si="143"/>
        <v>1066.6600000000001</v>
      </c>
      <c r="G104" s="116">
        <f t="shared" ref="G104" si="167">+BR104</f>
        <v>600</v>
      </c>
      <c r="H104" s="117">
        <f t="shared" ref="H104" si="168">+F104+G104</f>
        <v>1666.66</v>
      </c>
      <c r="I104" s="118">
        <v>14</v>
      </c>
      <c r="J104" s="88">
        <v>14</v>
      </c>
      <c r="L104" s="122">
        <v>46113</v>
      </c>
      <c r="M104" s="120"/>
      <c r="N104" s="121" t="str">
        <f t="shared" ca="1" si="155"/>
        <v>O.K.</v>
      </c>
      <c r="W104" s="1" t="s">
        <v>376</v>
      </c>
      <c r="X104" s="50">
        <v>0</v>
      </c>
      <c r="Y104" s="48">
        <v>0</v>
      </c>
      <c r="Z104" s="49">
        <v>0</v>
      </c>
      <c r="AA104" s="49">
        <v>0</v>
      </c>
      <c r="AB104" s="49">
        <v>0</v>
      </c>
      <c r="AC104" s="31">
        <v>0</v>
      </c>
      <c r="AD104" s="28">
        <f t="shared" si="166"/>
        <v>0</v>
      </c>
      <c r="AE104" s="52">
        <v>0</v>
      </c>
      <c r="AF104" s="52">
        <v>0</v>
      </c>
      <c r="AG104" s="49">
        <v>0</v>
      </c>
      <c r="AH104" s="22">
        <f t="shared" si="156"/>
        <v>0</v>
      </c>
      <c r="AI104" s="52">
        <v>0</v>
      </c>
      <c r="AJ104" s="52">
        <v>0</v>
      </c>
      <c r="AK104" s="49">
        <v>0</v>
      </c>
      <c r="AL104" s="31">
        <f t="shared" si="157"/>
        <v>0</v>
      </c>
      <c r="AM104" s="52">
        <f t="shared" si="48"/>
        <v>0</v>
      </c>
      <c r="AN104" s="52">
        <f t="shared" si="48"/>
        <v>0</v>
      </c>
      <c r="AO104" s="72">
        <v>0</v>
      </c>
      <c r="AP104" s="74">
        <f t="shared" si="158"/>
        <v>0</v>
      </c>
      <c r="AQ104" s="76">
        <f>+(204)+(240)+(0)+(0)+(54)+(0)</f>
        <v>498</v>
      </c>
      <c r="AR104" s="76">
        <f>+(0)+(78)+(0)+(0)+(0)+(0)</f>
        <v>78</v>
      </c>
      <c r="AS104" s="74">
        <v>150</v>
      </c>
      <c r="AT104" s="74">
        <f t="shared" ref="AT104" si="169">+AP104+AQ104+AR104-AS104</f>
        <v>426</v>
      </c>
      <c r="AU104" s="73">
        <f>+(0)+(0)+(0)+(276)</f>
        <v>276</v>
      </c>
      <c r="AV104" s="73">
        <f t="shared" si="110"/>
        <v>0</v>
      </c>
      <c r="AW104" s="73">
        <v>150</v>
      </c>
      <c r="AX104" s="73">
        <f t="shared" si="162"/>
        <v>552</v>
      </c>
      <c r="AY104" s="109">
        <f>+(0)+(0)+(0)+(132)</f>
        <v>132</v>
      </c>
      <c r="AZ104" s="109">
        <f>+(0)+(96)+(0)+(0)+(0)+(0)+(0)+(78)</f>
        <v>174</v>
      </c>
      <c r="BA104" s="61">
        <v>150</v>
      </c>
      <c r="BB104" s="61">
        <f t="shared" si="77"/>
        <v>708</v>
      </c>
      <c r="BD104" s="88">
        <v>0</v>
      </c>
      <c r="BE104" s="153">
        <v>78</v>
      </c>
      <c r="BF104" s="88">
        <v>0</v>
      </c>
      <c r="BG104" s="88">
        <v>0</v>
      </c>
      <c r="BH104" s="88">
        <v>0</v>
      </c>
      <c r="BI104" s="88">
        <v>0</v>
      </c>
      <c r="BJ104" s="88">
        <v>0</v>
      </c>
      <c r="BK104" s="88">
        <v>0</v>
      </c>
      <c r="BL104" s="88">
        <v>0</v>
      </c>
      <c r="BM104" s="88">
        <v>0</v>
      </c>
      <c r="BN104" s="88">
        <v>0</v>
      </c>
      <c r="BO104" s="88">
        <v>0</v>
      </c>
      <c r="BP104" s="210">
        <v>150</v>
      </c>
      <c r="BQ104" s="208">
        <f t="shared" si="112"/>
        <v>636</v>
      </c>
      <c r="BR104" s="175">
        <f t="shared" si="106"/>
        <v>600</v>
      </c>
    </row>
    <row r="105" spans="1:70" ht="25.8" thickBot="1" x14ac:dyDescent="0.65">
      <c r="A105" s="64">
        <v>97</v>
      </c>
      <c r="B105" s="166" t="s">
        <v>65</v>
      </c>
      <c r="C105" s="156" t="s">
        <v>20</v>
      </c>
      <c r="D105" s="166" t="s">
        <v>9</v>
      </c>
      <c r="E105" s="168">
        <v>9</v>
      </c>
      <c r="F105" s="160">
        <f t="shared" si="143"/>
        <v>4799.97</v>
      </c>
      <c r="G105" s="160">
        <f t="shared" si="103"/>
        <v>2678.9</v>
      </c>
      <c r="H105" s="161">
        <f>+F105+G105</f>
        <v>7478.8700000000008</v>
      </c>
      <c r="I105" s="162">
        <v>7</v>
      </c>
      <c r="J105" s="88">
        <v>7</v>
      </c>
      <c r="L105" s="169">
        <v>46696</v>
      </c>
      <c r="M105" s="164"/>
      <c r="N105" s="165" t="str">
        <f t="shared" ca="1" si="155"/>
        <v>O.K.</v>
      </c>
      <c r="W105" s="1" t="s">
        <v>65</v>
      </c>
      <c r="X105" s="50">
        <v>1161.5</v>
      </c>
      <c r="Y105" s="48">
        <v>96</v>
      </c>
      <c r="Z105" s="49">
        <v>96</v>
      </c>
      <c r="AA105" s="49">
        <v>150</v>
      </c>
      <c r="AB105" s="49">
        <v>150</v>
      </c>
      <c r="AC105" s="31">
        <v>186</v>
      </c>
      <c r="AD105" s="28">
        <f t="shared" si="166"/>
        <v>36</v>
      </c>
      <c r="AE105" s="52">
        <f>120+78+78</f>
        <v>276</v>
      </c>
      <c r="AF105" s="52">
        <f>+(54)+(0)+(0)+(0)+(54)+(162)</f>
        <v>270</v>
      </c>
      <c r="AG105" s="49">
        <v>150</v>
      </c>
      <c r="AH105" s="22">
        <f t="shared" si="156"/>
        <v>432</v>
      </c>
      <c r="AI105" s="52">
        <f t="shared" si="47"/>
        <v>0</v>
      </c>
      <c r="AJ105" s="52">
        <f>+(0)+(0)+(0)+(0)+(0)+(21)</f>
        <v>21</v>
      </c>
      <c r="AK105" s="49">
        <v>150</v>
      </c>
      <c r="AL105" s="31">
        <f t="shared" si="157"/>
        <v>303</v>
      </c>
      <c r="AM105" s="52">
        <f t="shared" si="82"/>
        <v>0</v>
      </c>
      <c r="AN105" s="52">
        <f t="shared" si="82"/>
        <v>0</v>
      </c>
      <c r="AO105" s="72">
        <v>150</v>
      </c>
      <c r="AP105" s="74">
        <f t="shared" si="158"/>
        <v>153</v>
      </c>
      <c r="AQ105" s="76">
        <f>+(0)+(0)+(0)+(0)+(54)+(0)</f>
        <v>54</v>
      </c>
      <c r="AR105" s="76">
        <f t="shared" si="83"/>
        <v>0</v>
      </c>
      <c r="AS105" s="74">
        <v>150</v>
      </c>
      <c r="AT105" s="74">
        <f t="shared" ref="AT105:AT126" si="170">+AP105+AQ105+AR105-AS105</f>
        <v>57</v>
      </c>
      <c r="AU105" s="73">
        <f>+(0)+(0)+(0)+(174)</f>
        <v>174</v>
      </c>
      <c r="AV105" s="73">
        <f t="shared" si="110"/>
        <v>0</v>
      </c>
      <c r="AW105" s="73">
        <v>150</v>
      </c>
      <c r="AX105" s="73">
        <f t="shared" si="162"/>
        <v>81</v>
      </c>
      <c r="AY105" s="109">
        <f>+(0)+(0)+(38.4)+(0)</f>
        <v>38.4</v>
      </c>
      <c r="AZ105" s="109">
        <f>+(0)+(0)+(0)+(0)+(0)+(0)+(156)+(0)</f>
        <v>156</v>
      </c>
      <c r="BA105" s="61">
        <v>150</v>
      </c>
      <c r="BB105" s="61">
        <f t="shared" si="77"/>
        <v>125.39999999999998</v>
      </c>
      <c r="BD105" s="88">
        <v>0</v>
      </c>
      <c r="BE105" s="88">
        <v>0</v>
      </c>
      <c r="BF105" s="88">
        <v>0</v>
      </c>
      <c r="BG105" s="88">
        <v>0</v>
      </c>
      <c r="BH105" s="88">
        <v>0</v>
      </c>
      <c r="BI105" s="88">
        <v>0</v>
      </c>
      <c r="BJ105" s="88">
        <v>0</v>
      </c>
      <c r="BK105" s="88">
        <v>0</v>
      </c>
      <c r="BL105" s="88">
        <v>0</v>
      </c>
      <c r="BM105" s="88">
        <v>0</v>
      </c>
      <c r="BN105" s="88">
        <v>0</v>
      </c>
      <c r="BO105" s="88">
        <v>0</v>
      </c>
      <c r="BP105" s="210">
        <v>125.4</v>
      </c>
      <c r="BQ105" s="208">
        <f t="shared" si="112"/>
        <v>0</v>
      </c>
      <c r="BR105" s="175">
        <f t="shared" si="106"/>
        <v>2678.9</v>
      </c>
    </row>
    <row r="106" spans="1:70" ht="25.8" thickBot="1" x14ac:dyDescent="0.65">
      <c r="A106" s="64">
        <v>98</v>
      </c>
      <c r="B106" s="112" t="s">
        <v>66</v>
      </c>
      <c r="C106" s="113" t="s">
        <v>23</v>
      </c>
      <c r="D106" s="112" t="s">
        <v>142</v>
      </c>
      <c r="E106" s="115">
        <v>7</v>
      </c>
      <c r="F106" s="116">
        <f t="shared" si="143"/>
        <v>3733.3100000000004</v>
      </c>
      <c r="G106" s="116">
        <f t="shared" si="103"/>
        <v>2040</v>
      </c>
      <c r="H106" s="117">
        <f>+F106+G106</f>
        <v>5773.31</v>
      </c>
      <c r="I106" s="118">
        <v>8</v>
      </c>
      <c r="J106" s="88">
        <v>8</v>
      </c>
      <c r="L106" s="122">
        <v>46023</v>
      </c>
      <c r="M106" s="120"/>
      <c r="N106" s="121" t="str">
        <f t="shared" ca="1" si="155"/>
        <v>O.K.</v>
      </c>
      <c r="W106" s="1" t="s">
        <v>66</v>
      </c>
      <c r="X106" s="50">
        <v>720</v>
      </c>
      <c r="Y106" s="48">
        <v>120</v>
      </c>
      <c r="Z106" s="49">
        <v>120</v>
      </c>
      <c r="AA106" s="49">
        <v>120</v>
      </c>
      <c r="AB106" s="49">
        <v>120</v>
      </c>
      <c r="AC106" s="31">
        <v>241.8</v>
      </c>
      <c r="AD106" s="28">
        <f t="shared" si="166"/>
        <v>121.80000000000001</v>
      </c>
      <c r="AE106" s="52">
        <v>54</v>
      </c>
      <c r="AF106" s="52">
        <f>+(0)+(115.8)+(0)+(0)+(0)+(0)</f>
        <v>115.8</v>
      </c>
      <c r="AG106" s="49">
        <v>120</v>
      </c>
      <c r="AH106" s="22">
        <f t="shared" si="156"/>
        <v>171.60000000000002</v>
      </c>
      <c r="AI106" s="52">
        <f t="shared" si="47"/>
        <v>0</v>
      </c>
      <c r="AJ106" s="52">
        <f>+(0)+(0)+(210)+(0)+(0)+(0)</f>
        <v>210</v>
      </c>
      <c r="AK106" s="49">
        <v>120</v>
      </c>
      <c r="AL106" s="31">
        <f t="shared" si="157"/>
        <v>261.60000000000002</v>
      </c>
      <c r="AM106" s="52">
        <f t="shared" si="82"/>
        <v>0</v>
      </c>
      <c r="AN106" s="52">
        <f>+(0)+(78)+(0)+(0)+(0)+(0)</f>
        <v>78</v>
      </c>
      <c r="AO106" s="72">
        <v>120</v>
      </c>
      <c r="AP106" s="74">
        <f t="shared" si="158"/>
        <v>219.60000000000002</v>
      </c>
      <c r="AQ106" s="76">
        <f>+(0)+(0)+(0)+(0)+(54)+(0)</f>
        <v>54</v>
      </c>
      <c r="AR106" s="76">
        <f>+(0)+(108)+(0)+(0)+(0)+(0)</f>
        <v>108</v>
      </c>
      <c r="AS106" s="74">
        <v>120</v>
      </c>
      <c r="AT106" s="74">
        <f t="shared" si="170"/>
        <v>261.60000000000002</v>
      </c>
      <c r="AU106" s="73">
        <f t="shared" si="104"/>
        <v>0</v>
      </c>
      <c r="AV106" s="73">
        <f>+(0)+(0)+(0)+(0)+(0)+(0)+(0)+(120)</f>
        <v>120</v>
      </c>
      <c r="AW106" s="74">
        <v>120</v>
      </c>
      <c r="AX106" s="74">
        <f t="shared" si="162"/>
        <v>261.60000000000002</v>
      </c>
      <c r="AY106" s="109">
        <f>+(0)+(0)+(0)+(78)</f>
        <v>78</v>
      </c>
      <c r="AZ106" s="109">
        <f>+(0)+(0)+(0)+(0)+(0)+(0)+(30)+(186)</f>
        <v>216</v>
      </c>
      <c r="BA106" s="61">
        <v>120</v>
      </c>
      <c r="BB106" s="61">
        <f t="shared" si="77"/>
        <v>435.6</v>
      </c>
      <c r="BD106" s="153">
        <v>30</v>
      </c>
      <c r="BE106" s="88">
        <v>0</v>
      </c>
      <c r="BF106" s="88">
        <v>0</v>
      </c>
      <c r="BG106" s="88">
        <v>0</v>
      </c>
      <c r="BH106" s="88">
        <v>0</v>
      </c>
      <c r="BI106" s="88">
        <v>0</v>
      </c>
      <c r="BJ106" s="88">
        <v>0</v>
      </c>
      <c r="BK106" s="88">
        <v>0</v>
      </c>
      <c r="BL106" s="88">
        <v>0</v>
      </c>
      <c r="BM106" s="88">
        <v>0</v>
      </c>
      <c r="BN106" s="88">
        <v>0</v>
      </c>
      <c r="BO106" s="88">
        <v>0</v>
      </c>
      <c r="BP106" s="210">
        <v>120</v>
      </c>
      <c r="BQ106" s="208">
        <f t="shared" si="112"/>
        <v>345.6</v>
      </c>
      <c r="BR106" s="175">
        <f t="shared" si="106"/>
        <v>2040</v>
      </c>
    </row>
    <row r="107" spans="1:70" ht="25.8" thickBot="1" x14ac:dyDescent="0.65">
      <c r="A107" s="64">
        <v>99</v>
      </c>
      <c r="B107" s="112" t="s">
        <v>430</v>
      </c>
      <c r="C107" s="113" t="s">
        <v>21</v>
      </c>
      <c r="D107" s="114">
        <v>45327</v>
      </c>
      <c r="E107" s="115">
        <v>0</v>
      </c>
      <c r="F107" s="116">
        <f t="shared" si="143"/>
        <v>0</v>
      </c>
      <c r="G107" s="116">
        <f t="shared" ref="G107" si="171">+BR107</f>
        <v>216.6</v>
      </c>
      <c r="H107" s="117">
        <f t="shared" ref="H107" si="172">+F107+G107</f>
        <v>216.6</v>
      </c>
      <c r="I107" s="118">
        <v>15</v>
      </c>
      <c r="J107" s="88">
        <v>15</v>
      </c>
      <c r="L107" s="122">
        <v>46058</v>
      </c>
      <c r="M107" s="120"/>
      <c r="N107" s="121" t="str">
        <f t="shared" ca="1" si="155"/>
        <v>O.K.</v>
      </c>
      <c r="W107" s="1" t="s">
        <v>430</v>
      </c>
      <c r="X107" s="50">
        <v>0</v>
      </c>
      <c r="Y107" s="48">
        <v>0</v>
      </c>
      <c r="Z107" s="49">
        <v>0</v>
      </c>
      <c r="AA107" s="49">
        <v>0</v>
      </c>
      <c r="AB107" s="49">
        <v>0</v>
      </c>
      <c r="AC107" s="31">
        <v>0</v>
      </c>
      <c r="AD107" s="28">
        <f t="shared" si="166"/>
        <v>0</v>
      </c>
      <c r="AE107" s="52">
        <v>0</v>
      </c>
      <c r="AF107" s="52">
        <v>0</v>
      </c>
      <c r="AG107" s="49">
        <v>0</v>
      </c>
      <c r="AH107" s="22">
        <f t="shared" si="156"/>
        <v>0</v>
      </c>
      <c r="AI107" s="52">
        <v>0</v>
      </c>
      <c r="AJ107" s="52">
        <v>0</v>
      </c>
      <c r="AK107" s="49">
        <v>0</v>
      </c>
      <c r="AL107" s="31">
        <f t="shared" si="157"/>
        <v>0</v>
      </c>
      <c r="AM107" s="52">
        <v>0</v>
      </c>
      <c r="AN107" s="52">
        <v>0</v>
      </c>
      <c r="AO107" s="72">
        <v>0</v>
      </c>
      <c r="AP107" s="74">
        <f t="shared" si="158"/>
        <v>0</v>
      </c>
      <c r="AQ107" s="76">
        <v>0</v>
      </c>
      <c r="AR107" s="76">
        <v>0</v>
      </c>
      <c r="AS107" s="74">
        <v>0</v>
      </c>
      <c r="AT107" s="74">
        <f t="shared" si="170"/>
        <v>0</v>
      </c>
      <c r="AU107" s="73">
        <f t="shared" si="104"/>
        <v>0</v>
      </c>
      <c r="AV107" s="73">
        <f t="shared" si="110"/>
        <v>0</v>
      </c>
      <c r="AW107" s="73">
        <v>0</v>
      </c>
      <c r="AX107" s="73">
        <f t="shared" si="162"/>
        <v>0</v>
      </c>
      <c r="AY107" s="109">
        <f>+(0)+(0)+(0)+(54)</f>
        <v>54</v>
      </c>
      <c r="AZ107" s="109">
        <f>+(0)+(0)+(0)+(0)+(0)+(0)+(0)+(162.6)</f>
        <v>162.6</v>
      </c>
      <c r="BA107" s="61">
        <v>150</v>
      </c>
      <c r="BB107" s="61">
        <f t="shared" si="77"/>
        <v>66.599999999999994</v>
      </c>
      <c r="BD107" s="88">
        <v>0</v>
      </c>
      <c r="BE107" s="88">
        <v>0</v>
      </c>
      <c r="BF107" s="88">
        <v>0</v>
      </c>
      <c r="BG107" s="88">
        <v>0</v>
      </c>
      <c r="BH107" s="88">
        <v>0</v>
      </c>
      <c r="BI107" s="88">
        <v>0</v>
      </c>
      <c r="BJ107" s="88">
        <v>0</v>
      </c>
      <c r="BK107" s="88">
        <v>0</v>
      </c>
      <c r="BL107" s="88">
        <v>0</v>
      </c>
      <c r="BM107" s="88">
        <v>0</v>
      </c>
      <c r="BN107" s="88">
        <v>0</v>
      </c>
      <c r="BO107" s="88">
        <v>0</v>
      </c>
      <c r="BP107" s="210">
        <v>66.599999999999994</v>
      </c>
      <c r="BQ107" s="208">
        <f t="shared" si="112"/>
        <v>0</v>
      </c>
      <c r="BR107" s="175">
        <f t="shared" si="106"/>
        <v>216.6</v>
      </c>
    </row>
    <row r="108" spans="1:70" ht="25.8" thickBot="1" x14ac:dyDescent="0.65">
      <c r="A108" s="64">
        <v>100</v>
      </c>
      <c r="B108" s="166" t="s">
        <v>272</v>
      </c>
      <c r="C108" s="156" t="s">
        <v>21</v>
      </c>
      <c r="D108" s="167">
        <v>45748</v>
      </c>
      <c r="E108" s="168">
        <v>2</v>
      </c>
      <c r="F108" s="160">
        <f>+E108*$C$1</f>
        <v>1066.6600000000001</v>
      </c>
      <c r="G108" s="160">
        <f>+BR108</f>
        <v>2250</v>
      </c>
      <c r="H108" s="161">
        <f>+F108+G108</f>
        <v>3316.66</v>
      </c>
      <c r="I108" s="162">
        <v>12</v>
      </c>
      <c r="J108" s="88">
        <v>12</v>
      </c>
      <c r="L108" s="163">
        <v>46554</v>
      </c>
      <c r="M108" s="164"/>
      <c r="N108" s="165" t="str">
        <f t="shared" ca="1" si="155"/>
        <v>O.K.</v>
      </c>
      <c r="W108" s="1" t="s">
        <v>272</v>
      </c>
      <c r="X108" s="68">
        <v>2112</v>
      </c>
      <c r="Y108" s="48"/>
      <c r="Z108" s="49"/>
      <c r="AA108" s="49"/>
      <c r="AB108" s="49"/>
      <c r="AC108" s="31"/>
      <c r="AD108" s="28"/>
      <c r="AE108" s="52"/>
      <c r="AF108" s="52"/>
      <c r="AG108" s="49"/>
      <c r="AH108" s="22"/>
      <c r="AI108" s="52"/>
      <c r="AJ108" s="52"/>
      <c r="AK108" s="49"/>
      <c r="AL108" s="31"/>
      <c r="AM108" s="52"/>
      <c r="AN108" s="52"/>
      <c r="AO108" s="72"/>
      <c r="AP108" s="74"/>
      <c r="AQ108" s="76"/>
      <c r="AR108" s="76"/>
      <c r="AS108" s="74"/>
      <c r="AT108" s="74"/>
      <c r="AU108" s="73"/>
      <c r="AV108" s="73"/>
      <c r="AW108" s="73"/>
      <c r="AX108" s="73"/>
      <c r="AY108" s="109">
        <f t="shared" si="123"/>
        <v>0</v>
      </c>
      <c r="AZ108" s="109">
        <f>+(0)+(0)+(0)+(0)+(30)+(0)+(0)+(108)</f>
        <v>138</v>
      </c>
      <c r="BA108" s="61">
        <v>138</v>
      </c>
      <c r="BB108" s="61">
        <f t="shared" ref="BB108" si="173">(AX108+AY108+AZ108)-BA108</f>
        <v>0</v>
      </c>
      <c r="BD108" s="88">
        <v>0</v>
      </c>
      <c r="BE108" s="88">
        <v>0</v>
      </c>
      <c r="BF108" s="88">
        <v>0</v>
      </c>
      <c r="BG108" s="88">
        <v>0</v>
      </c>
      <c r="BH108" s="88">
        <v>0</v>
      </c>
      <c r="BI108" s="88">
        <v>0</v>
      </c>
      <c r="BJ108" s="88">
        <v>0</v>
      </c>
      <c r="BK108" s="88">
        <v>0</v>
      </c>
      <c r="BL108" s="88">
        <v>0</v>
      </c>
      <c r="BM108" s="88">
        <v>0</v>
      </c>
      <c r="BN108" s="88">
        <v>0</v>
      </c>
      <c r="BO108" s="88">
        <v>0</v>
      </c>
      <c r="BP108" s="210">
        <v>0</v>
      </c>
      <c r="BQ108" s="208">
        <f t="shared" si="112"/>
        <v>0</v>
      </c>
      <c r="BR108" s="175">
        <f t="shared" si="106"/>
        <v>2250</v>
      </c>
    </row>
    <row r="109" spans="1:70" ht="25.8" thickBot="1" x14ac:dyDescent="0.65">
      <c r="A109" s="64">
        <v>101</v>
      </c>
      <c r="B109" s="112" t="s">
        <v>385</v>
      </c>
      <c r="C109" s="113" t="s">
        <v>21</v>
      </c>
      <c r="D109" s="114">
        <v>44927</v>
      </c>
      <c r="E109" s="115">
        <v>2</v>
      </c>
      <c r="F109" s="116">
        <f t="shared" ref="F109" si="174">+E109*$C$1</f>
        <v>1066.6600000000001</v>
      </c>
      <c r="G109" s="116">
        <f t="shared" ref="G109" si="175">+BR109</f>
        <v>715</v>
      </c>
      <c r="H109" s="117">
        <f t="shared" ref="H109" si="176">+F109+G109</f>
        <v>1781.66</v>
      </c>
      <c r="I109" s="118">
        <v>13</v>
      </c>
      <c r="J109" s="88">
        <v>13</v>
      </c>
      <c r="K109" s="212" t="s">
        <v>315</v>
      </c>
      <c r="L109" s="122">
        <v>46373</v>
      </c>
      <c r="M109" s="120"/>
      <c r="N109" s="121" t="str">
        <f t="shared" ca="1" si="155"/>
        <v>O.K.</v>
      </c>
      <c r="W109" s="1" t="s">
        <v>385</v>
      </c>
      <c r="X109" s="68">
        <v>115</v>
      </c>
      <c r="Y109" s="48">
        <v>0</v>
      </c>
      <c r="Z109" s="49">
        <v>0</v>
      </c>
      <c r="AA109" s="49">
        <v>0</v>
      </c>
      <c r="AB109" s="49">
        <v>0</v>
      </c>
      <c r="AC109" s="31">
        <v>0</v>
      </c>
      <c r="AD109" s="28">
        <f>+AC109-AB109</f>
        <v>0</v>
      </c>
      <c r="AE109" s="52">
        <v>0</v>
      </c>
      <c r="AF109" s="52">
        <v>0</v>
      </c>
      <c r="AG109" s="49">
        <v>0</v>
      </c>
      <c r="AH109" s="22">
        <f t="shared" si="156"/>
        <v>0</v>
      </c>
      <c r="AI109" s="52">
        <v>0</v>
      </c>
      <c r="AJ109" s="52">
        <v>0</v>
      </c>
      <c r="AK109" s="49">
        <v>0</v>
      </c>
      <c r="AL109" s="31">
        <f t="shared" si="157"/>
        <v>0</v>
      </c>
      <c r="AM109" s="52">
        <v>0</v>
      </c>
      <c r="AN109" s="52">
        <v>0</v>
      </c>
      <c r="AO109" s="72">
        <v>0</v>
      </c>
      <c r="AP109" s="74">
        <f t="shared" si="158"/>
        <v>0</v>
      </c>
      <c r="AQ109" s="76">
        <f>+(0)+(0)+(0)+(0)+(54)+(30)</f>
        <v>84</v>
      </c>
      <c r="AR109" s="76">
        <f>+(0)+(120)+(0)+(0)+(0)+(0)</f>
        <v>120</v>
      </c>
      <c r="AS109" s="74">
        <v>150</v>
      </c>
      <c r="AT109" s="74">
        <f t="shared" si="170"/>
        <v>54</v>
      </c>
      <c r="AU109" s="73">
        <f>+(0)+(0)+(0)+(510.6)</f>
        <v>510.6</v>
      </c>
      <c r="AV109" s="73">
        <f>+(96)+(0)+(96)+(0)+(0)+(0)+(108)+(84)</f>
        <v>384</v>
      </c>
      <c r="AW109" s="74">
        <v>150</v>
      </c>
      <c r="AX109" s="74">
        <f t="shared" si="162"/>
        <v>798.6</v>
      </c>
      <c r="AY109" s="109">
        <f>+(0)+(0)+(54)+(132)</f>
        <v>186</v>
      </c>
      <c r="AZ109" s="109">
        <f>+(21)+(0)+(0)+(0)+(0)+(0)+(0)+(0)</f>
        <v>21</v>
      </c>
      <c r="BA109" s="61">
        <v>150</v>
      </c>
      <c r="BB109" s="61">
        <f t="shared" si="77"/>
        <v>855.6</v>
      </c>
      <c r="BD109" s="88">
        <v>0</v>
      </c>
      <c r="BE109" s="88">
        <v>0</v>
      </c>
      <c r="BF109" s="88">
        <v>0</v>
      </c>
      <c r="BG109" s="88">
        <v>0</v>
      </c>
      <c r="BH109" s="88">
        <v>0</v>
      </c>
      <c r="BI109" s="88">
        <v>0</v>
      </c>
      <c r="BJ109" s="88">
        <v>0</v>
      </c>
      <c r="BK109" s="88">
        <v>0</v>
      </c>
      <c r="BL109" s="88">
        <v>0</v>
      </c>
      <c r="BM109" s="88">
        <v>0</v>
      </c>
      <c r="BN109" s="88">
        <v>0</v>
      </c>
      <c r="BO109" s="88">
        <v>0</v>
      </c>
      <c r="BP109" s="210">
        <v>150</v>
      </c>
      <c r="BQ109" s="208">
        <f t="shared" si="112"/>
        <v>705.6</v>
      </c>
      <c r="BR109" s="175">
        <f t="shared" si="106"/>
        <v>715</v>
      </c>
    </row>
    <row r="110" spans="1:70" ht="25.8" thickBot="1" x14ac:dyDescent="0.65">
      <c r="A110" s="64">
        <v>102</v>
      </c>
      <c r="B110" s="112" t="s">
        <v>425</v>
      </c>
      <c r="C110" s="113" t="s">
        <v>171</v>
      </c>
      <c r="D110" s="114">
        <v>45292</v>
      </c>
      <c r="E110" s="115">
        <v>1</v>
      </c>
      <c r="F110" s="116">
        <f t="shared" ref="F110" si="177">+E110*$C$1</f>
        <v>533.33000000000004</v>
      </c>
      <c r="G110" s="116">
        <f t="shared" ref="G110" si="178">+BR110</f>
        <v>324</v>
      </c>
      <c r="H110" s="117">
        <f t="shared" ref="H110" si="179">+F110+G110</f>
        <v>857.33</v>
      </c>
      <c r="I110" s="118">
        <v>14</v>
      </c>
      <c r="J110" s="88">
        <v>14</v>
      </c>
      <c r="L110" s="122">
        <v>46023</v>
      </c>
      <c r="M110" s="120"/>
      <c r="N110" s="121" t="str">
        <f t="shared" ca="1" si="155"/>
        <v>O.K.</v>
      </c>
      <c r="W110" s="1" t="s">
        <v>425</v>
      </c>
      <c r="X110" s="68">
        <v>270</v>
      </c>
      <c r="Y110" s="48">
        <v>0</v>
      </c>
      <c r="Z110" s="49">
        <v>0</v>
      </c>
      <c r="AA110" s="49">
        <v>0</v>
      </c>
      <c r="AB110" s="49">
        <v>0</v>
      </c>
      <c r="AC110" s="31">
        <v>0</v>
      </c>
      <c r="AD110" s="28">
        <f>+AC110-AB110</f>
        <v>0</v>
      </c>
      <c r="AE110" s="52">
        <v>0</v>
      </c>
      <c r="AF110" s="52">
        <v>0</v>
      </c>
      <c r="AG110" s="49">
        <v>0</v>
      </c>
      <c r="AH110" s="22">
        <f t="shared" si="156"/>
        <v>0</v>
      </c>
      <c r="AI110" s="52">
        <v>0</v>
      </c>
      <c r="AJ110" s="52">
        <v>0</v>
      </c>
      <c r="AK110" s="49">
        <v>0</v>
      </c>
      <c r="AL110" s="31">
        <f t="shared" si="157"/>
        <v>0</v>
      </c>
      <c r="AM110" s="52">
        <v>0</v>
      </c>
      <c r="AN110" s="52">
        <v>0</v>
      </c>
      <c r="AO110" s="72">
        <v>0</v>
      </c>
      <c r="AP110" s="74">
        <f t="shared" si="158"/>
        <v>0</v>
      </c>
      <c r="AQ110" s="76">
        <v>0</v>
      </c>
      <c r="AR110" s="76">
        <v>0</v>
      </c>
      <c r="AS110" s="74">
        <v>0</v>
      </c>
      <c r="AT110" s="74">
        <f t="shared" si="170"/>
        <v>0</v>
      </c>
      <c r="AU110" s="73">
        <f t="shared" si="104"/>
        <v>0</v>
      </c>
      <c r="AV110" s="73">
        <f t="shared" si="110"/>
        <v>0</v>
      </c>
      <c r="AW110" s="73">
        <v>0</v>
      </c>
      <c r="AX110" s="73">
        <f t="shared" si="162"/>
        <v>0</v>
      </c>
      <c r="AY110" s="109">
        <f>+(0)+(0)+(0)+(54)</f>
        <v>54</v>
      </c>
      <c r="AZ110" s="109">
        <f t="shared" si="111"/>
        <v>0</v>
      </c>
      <c r="BA110" s="61">
        <v>54</v>
      </c>
      <c r="BB110" s="61">
        <f t="shared" si="77"/>
        <v>0</v>
      </c>
      <c r="BD110" s="88">
        <v>0</v>
      </c>
      <c r="BE110" s="88">
        <v>0</v>
      </c>
      <c r="BF110" s="88">
        <v>0</v>
      </c>
      <c r="BG110" s="88">
        <v>0</v>
      </c>
      <c r="BH110" s="88">
        <v>0</v>
      </c>
      <c r="BI110" s="88">
        <v>0</v>
      </c>
      <c r="BJ110" s="88">
        <v>0</v>
      </c>
      <c r="BK110" s="88">
        <v>0</v>
      </c>
      <c r="BL110" s="88">
        <v>0</v>
      </c>
      <c r="BM110" s="88">
        <v>0</v>
      </c>
      <c r="BN110" s="88">
        <v>0</v>
      </c>
      <c r="BO110" s="88">
        <v>0</v>
      </c>
      <c r="BP110" s="210">
        <v>0</v>
      </c>
      <c r="BQ110" s="208">
        <f t="shared" si="112"/>
        <v>0</v>
      </c>
      <c r="BR110" s="175">
        <f t="shared" si="106"/>
        <v>324</v>
      </c>
    </row>
    <row r="111" spans="1:70" ht="25.8" thickBot="1" x14ac:dyDescent="0.65">
      <c r="A111" s="64">
        <v>103</v>
      </c>
      <c r="B111" s="112" t="s">
        <v>182</v>
      </c>
      <c r="C111" s="113" t="s">
        <v>171</v>
      </c>
      <c r="D111" s="114">
        <v>41760</v>
      </c>
      <c r="E111" s="115">
        <v>6</v>
      </c>
      <c r="F111" s="116">
        <f t="shared" si="143"/>
        <v>3199.9800000000005</v>
      </c>
      <c r="G111" s="116">
        <f t="shared" si="103"/>
        <v>864</v>
      </c>
      <c r="H111" s="117">
        <f>+F111+G111</f>
        <v>4063.9800000000005</v>
      </c>
      <c r="I111" s="118">
        <v>10</v>
      </c>
      <c r="J111" s="88">
        <v>10</v>
      </c>
      <c r="L111" s="122">
        <v>46198</v>
      </c>
      <c r="M111" s="120"/>
      <c r="N111" s="121" t="str">
        <f t="shared" ca="1" si="155"/>
        <v>O.K.</v>
      </c>
      <c r="W111" s="1" t="s">
        <v>182</v>
      </c>
      <c r="X111" s="50">
        <v>420</v>
      </c>
      <c r="Y111" s="48">
        <v>96</v>
      </c>
      <c r="Z111" s="49">
        <v>96</v>
      </c>
      <c r="AA111" s="49">
        <v>96</v>
      </c>
      <c r="AB111" s="49">
        <v>78</v>
      </c>
      <c r="AC111" s="31">
        <v>78</v>
      </c>
      <c r="AD111" s="28">
        <f>+AC111-AB111</f>
        <v>0</v>
      </c>
      <c r="AE111" s="52">
        <v>0</v>
      </c>
      <c r="AF111" s="52">
        <f t="shared" ref="AF111:AF356" si="180">+(0)+(0)+(0)+(0)+(0)+(0)</f>
        <v>0</v>
      </c>
      <c r="AG111" s="49">
        <v>0</v>
      </c>
      <c r="AH111" s="22">
        <f t="shared" si="156"/>
        <v>0</v>
      </c>
      <c r="AI111" s="52">
        <f t="shared" si="47"/>
        <v>0</v>
      </c>
      <c r="AJ111" s="52">
        <f t="shared" si="47"/>
        <v>0</v>
      </c>
      <c r="AK111" s="49">
        <v>0</v>
      </c>
      <c r="AL111" s="31">
        <f t="shared" si="157"/>
        <v>0</v>
      </c>
      <c r="AM111" s="52">
        <f t="shared" si="82"/>
        <v>0</v>
      </c>
      <c r="AN111" s="52">
        <f t="shared" si="82"/>
        <v>0</v>
      </c>
      <c r="AO111" s="72">
        <v>0</v>
      </c>
      <c r="AP111" s="74">
        <f t="shared" si="158"/>
        <v>0</v>
      </c>
      <c r="AQ111" s="76">
        <f t="shared" si="83"/>
        <v>0</v>
      </c>
      <c r="AR111" s="76">
        <f t="shared" si="83"/>
        <v>0</v>
      </c>
      <c r="AS111" s="74">
        <v>0</v>
      </c>
      <c r="AT111" s="74">
        <f t="shared" si="170"/>
        <v>0</v>
      </c>
      <c r="AU111" s="73">
        <f>+(0)+(0)+(0)+(78)</f>
        <v>78</v>
      </c>
      <c r="AV111" s="73">
        <f t="shared" si="110"/>
        <v>0</v>
      </c>
      <c r="AW111" s="73">
        <v>78</v>
      </c>
      <c r="AX111" s="73">
        <f t="shared" si="162"/>
        <v>0</v>
      </c>
      <c r="AY111" s="109">
        <f t="shared" si="123"/>
        <v>0</v>
      </c>
      <c r="AZ111" s="109">
        <f t="shared" si="111"/>
        <v>0</v>
      </c>
      <c r="BA111" s="61">
        <v>0</v>
      </c>
      <c r="BB111" s="61">
        <f t="shared" si="77"/>
        <v>0</v>
      </c>
      <c r="BD111" s="88">
        <v>0</v>
      </c>
      <c r="BE111" s="88">
        <v>0</v>
      </c>
      <c r="BF111" s="88">
        <v>0</v>
      </c>
      <c r="BG111" s="88">
        <v>0</v>
      </c>
      <c r="BH111" s="88">
        <v>0</v>
      </c>
      <c r="BI111" s="88">
        <v>0</v>
      </c>
      <c r="BJ111" s="88">
        <v>0</v>
      </c>
      <c r="BK111" s="88">
        <v>0</v>
      </c>
      <c r="BL111" s="88">
        <v>0</v>
      </c>
      <c r="BM111" s="88">
        <v>0</v>
      </c>
      <c r="BN111" s="88">
        <v>0</v>
      </c>
      <c r="BO111" s="88">
        <v>0</v>
      </c>
      <c r="BP111" s="210">
        <v>0</v>
      </c>
      <c r="BQ111" s="208">
        <f t="shared" si="112"/>
        <v>0</v>
      </c>
      <c r="BR111" s="175">
        <f t="shared" si="106"/>
        <v>864</v>
      </c>
    </row>
    <row r="112" spans="1:70" ht="25.8" thickBot="1" x14ac:dyDescent="0.65">
      <c r="A112" s="64">
        <v>104</v>
      </c>
      <c r="B112" s="166" t="s">
        <v>386</v>
      </c>
      <c r="C112" s="156" t="s">
        <v>20</v>
      </c>
      <c r="D112" s="167">
        <v>44927</v>
      </c>
      <c r="E112" s="168">
        <v>1</v>
      </c>
      <c r="F112" s="160">
        <f t="shared" ref="F112" si="181">+E112*$C$1</f>
        <v>533.33000000000004</v>
      </c>
      <c r="G112" s="160">
        <f t="shared" ref="G112" si="182">+BR112</f>
        <v>1284</v>
      </c>
      <c r="H112" s="161">
        <f t="shared" ref="H112:H120" si="183">+F112+G112</f>
        <v>1817.33</v>
      </c>
      <c r="I112" s="162">
        <v>13</v>
      </c>
      <c r="J112" s="88">
        <v>13</v>
      </c>
      <c r="L112" s="169">
        <v>46388</v>
      </c>
      <c r="M112" s="164"/>
      <c r="N112" s="165" t="str">
        <f t="shared" ca="1" si="155"/>
        <v>O.K.</v>
      </c>
      <c r="W112" s="1" t="s">
        <v>386</v>
      </c>
      <c r="X112" s="126">
        <v>684</v>
      </c>
      <c r="Y112" s="48">
        <v>0</v>
      </c>
      <c r="Z112" s="49">
        <v>0</v>
      </c>
      <c r="AA112" s="49">
        <v>0</v>
      </c>
      <c r="AB112" s="49">
        <v>0</v>
      </c>
      <c r="AC112" s="31">
        <v>0</v>
      </c>
      <c r="AD112" s="28">
        <f>+AC112-AB112</f>
        <v>0</v>
      </c>
      <c r="AE112" s="52">
        <v>0</v>
      </c>
      <c r="AF112" s="52">
        <v>0</v>
      </c>
      <c r="AG112" s="49">
        <v>0</v>
      </c>
      <c r="AH112" s="22">
        <f t="shared" si="156"/>
        <v>0</v>
      </c>
      <c r="AI112" s="52">
        <v>0</v>
      </c>
      <c r="AJ112" s="52">
        <v>0</v>
      </c>
      <c r="AK112" s="49">
        <v>0</v>
      </c>
      <c r="AL112" s="31">
        <f t="shared" si="157"/>
        <v>0</v>
      </c>
      <c r="AM112" s="52">
        <v>0</v>
      </c>
      <c r="AN112" s="52">
        <v>0</v>
      </c>
      <c r="AO112" s="72">
        <v>0</v>
      </c>
      <c r="AP112" s="74">
        <f t="shared" si="158"/>
        <v>0</v>
      </c>
      <c r="AQ112" s="76">
        <f>+(0)+(0)+(0)+(0)+(108)+(0)</f>
        <v>108</v>
      </c>
      <c r="AR112" s="76">
        <f>+(84)+(0)+(0)+(0)+(0)+(0)</f>
        <v>84</v>
      </c>
      <c r="AS112" s="74">
        <v>150</v>
      </c>
      <c r="AT112" s="74">
        <f t="shared" si="170"/>
        <v>42</v>
      </c>
      <c r="AU112" s="73">
        <f>+(0)+(0)+(0)+(78)</f>
        <v>78</v>
      </c>
      <c r="AV112" s="73">
        <f>+(210)+(37.8)+(0)+(0)+(0)+(0)+(0)+(0)</f>
        <v>247.8</v>
      </c>
      <c r="AW112" s="73">
        <v>150</v>
      </c>
      <c r="AX112" s="73">
        <f t="shared" si="162"/>
        <v>217.8</v>
      </c>
      <c r="AY112" s="109">
        <f t="shared" si="123"/>
        <v>0</v>
      </c>
      <c r="AZ112" s="109">
        <f>+(0)+(0)+(0)+(0)+(0)+(0)+(0)+(85.2)</f>
        <v>85.2</v>
      </c>
      <c r="BA112" s="61">
        <v>150</v>
      </c>
      <c r="BB112" s="61">
        <f t="shared" si="77"/>
        <v>153</v>
      </c>
      <c r="BD112" s="88">
        <v>0</v>
      </c>
      <c r="BE112" s="88">
        <v>0</v>
      </c>
      <c r="BF112" s="88">
        <v>0</v>
      </c>
      <c r="BG112" s="88">
        <v>0</v>
      </c>
      <c r="BH112" s="88">
        <v>0</v>
      </c>
      <c r="BI112" s="88">
        <v>0</v>
      </c>
      <c r="BJ112" s="88">
        <v>0</v>
      </c>
      <c r="BK112" s="88">
        <v>0</v>
      </c>
      <c r="BL112" s="88">
        <v>0</v>
      </c>
      <c r="BM112" s="88">
        <v>0</v>
      </c>
      <c r="BN112" s="88">
        <v>0</v>
      </c>
      <c r="BO112" s="88">
        <v>0</v>
      </c>
      <c r="BP112" s="210">
        <v>150</v>
      </c>
      <c r="BQ112" s="208">
        <f t="shared" si="112"/>
        <v>3</v>
      </c>
      <c r="BR112" s="175">
        <f t="shared" si="106"/>
        <v>1284</v>
      </c>
    </row>
    <row r="113" spans="1:70" ht="25.8" thickBot="1" x14ac:dyDescent="0.65">
      <c r="A113" s="64">
        <v>105</v>
      </c>
      <c r="B113" s="166" t="s">
        <v>67</v>
      </c>
      <c r="C113" s="156" t="s">
        <v>23</v>
      </c>
      <c r="D113" s="172" t="s">
        <v>143</v>
      </c>
      <c r="E113" s="168">
        <v>6</v>
      </c>
      <c r="F113" s="160">
        <f t="shared" si="143"/>
        <v>3199.9800000000005</v>
      </c>
      <c r="G113" s="160">
        <f t="shared" ref="G113:G120" si="184">+BR113</f>
        <v>1566</v>
      </c>
      <c r="H113" s="161">
        <f t="shared" si="183"/>
        <v>4765.9800000000005</v>
      </c>
      <c r="I113" s="162">
        <v>9</v>
      </c>
      <c r="J113" s="88">
        <v>9</v>
      </c>
      <c r="L113" s="169">
        <v>46487</v>
      </c>
      <c r="M113" s="164"/>
      <c r="N113" s="165" t="str">
        <f t="shared" ca="1" si="155"/>
        <v>O.K.</v>
      </c>
      <c r="W113" s="1" t="s">
        <v>67</v>
      </c>
      <c r="X113" s="50">
        <v>270</v>
      </c>
      <c r="Y113" s="48">
        <v>120</v>
      </c>
      <c r="Z113" s="49">
        <v>96</v>
      </c>
      <c r="AA113" s="49">
        <v>120</v>
      </c>
      <c r="AB113" s="49">
        <v>120</v>
      </c>
      <c r="AC113" s="31">
        <v>234</v>
      </c>
      <c r="AD113" s="28">
        <f t="shared" ref="AD113:AD126" si="185">+AC113-AB113</f>
        <v>114</v>
      </c>
      <c r="AE113" s="52">
        <v>132</v>
      </c>
      <c r="AF113" s="52">
        <f>+(115.8)+(0)+(0)+(0)+(54)+(54)</f>
        <v>223.8</v>
      </c>
      <c r="AG113" s="49">
        <v>120</v>
      </c>
      <c r="AH113" s="22">
        <f t="shared" si="156"/>
        <v>349.8</v>
      </c>
      <c r="AI113" s="52">
        <f t="shared" si="81"/>
        <v>0</v>
      </c>
      <c r="AJ113" s="52">
        <f t="shared" si="81"/>
        <v>0</v>
      </c>
      <c r="AK113" s="49">
        <v>120</v>
      </c>
      <c r="AL113" s="31">
        <f t="shared" si="157"/>
        <v>229.8</v>
      </c>
      <c r="AM113" s="52">
        <f t="shared" si="82"/>
        <v>0</v>
      </c>
      <c r="AN113" s="52">
        <f>+(0)+(0)+(0)+(0)+(0)+(108)</f>
        <v>108</v>
      </c>
      <c r="AO113" s="72">
        <v>120</v>
      </c>
      <c r="AP113" s="74">
        <f t="shared" si="158"/>
        <v>217.8</v>
      </c>
      <c r="AQ113" s="76">
        <f t="shared" si="83"/>
        <v>0</v>
      </c>
      <c r="AR113" s="76">
        <f>+(0)+(174)+(0)+(0)+(0)+(0)</f>
        <v>174</v>
      </c>
      <c r="AS113" s="74">
        <v>120</v>
      </c>
      <c r="AT113" s="74">
        <f t="shared" si="170"/>
        <v>271.8</v>
      </c>
      <c r="AU113" s="73">
        <f t="shared" si="104"/>
        <v>0</v>
      </c>
      <c r="AV113" s="73">
        <f>+(60)+(0)+(96)+(0)+(0)+(0)+(0)+(0)</f>
        <v>156</v>
      </c>
      <c r="AW113" s="73">
        <v>120</v>
      </c>
      <c r="AX113" s="73">
        <f t="shared" si="162"/>
        <v>307.8</v>
      </c>
      <c r="AY113" s="109">
        <f t="shared" si="123"/>
        <v>0</v>
      </c>
      <c r="AZ113" s="109">
        <f t="shared" si="111"/>
        <v>0</v>
      </c>
      <c r="BA113" s="61">
        <v>120</v>
      </c>
      <c r="BB113" s="61">
        <f t="shared" si="77"/>
        <v>187.8</v>
      </c>
      <c r="BD113" s="88">
        <v>0</v>
      </c>
      <c r="BE113" s="88">
        <v>0</v>
      </c>
      <c r="BF113" s="88">
        <v>0</v>
      </c>
      <c r="BG113" s="88">
        <v>0</v>
      </c>
      <c r="BH113" s="88">
        <v>0</v>
      </c>
      <c r="BI113" s="88">
        <v>0</v>
      </c>
      <c r="BJ113" s="88">
        <v>0</v>
      </c>
      <c r="BK113" s="88">
        <v>0</v>
      </c>
      <c r="BL113" s="88">
        <v>0</v>
      </c>
      <c r="BM113" s="88">
        <v>0</v>
      </c>
      <c r="BN113" s="88">
        <v>0</v>
      </c>
      <c r="BO113" s="88">
        <v>0</v>
      </c>
      <c r="BP113" s="210">
        <v>120</v>
      </c>
      <c r="BQ113" s="208">
        <f t="shared" si="112"/>
        <v>67.800000000000011</v>
      </c>
      <c r="BR113" s="175">
        <f t="shared" si="106"/>
        <v>1566</v>
      </c>
    </row>
    <row r="114" spans="1:70" ht="25.8" thickBot="1" x14ac:dyDescent="0.65">
      <c r="A114" s="64">
        <v>106</v>
      </c>
      <c r="B114" s="112" t="s">
        <v>68</v>
      </c>
      <c r="C114" s="113" t="s">
        <v>20</v>
      </c>
      <c r="D114" s="112" t="s">
        <v>10</v>
      </c>
      <c r="E114" s="115">
        <v>8</v>
      </c>
      <c r="F114" s="116">
        <f t="shared" si="143"/>
        <v>4266.6400000000003</v>
      </c>
      <c r="G114" s="116">
        <f t="shared" si="184"/>
        <v>2430</v>
      </c>
      <c r="H114" s="117">
        <f t="shared" si="183"/>
        <v>6696.64</v>
      </c>
      <c r="I114" s="118">
        <v>7</v>
      </c>
      <c r="J114" s="88">
        <v>7</v>
      </c>
      <c r="K114" s="212" t="s">
        <v>315</v>
      </c>
      <c r="L114" s="122">
        <v>46054</v>
      </c>
      <c r="M114" s="120"/>
      <c r="N114" s="121" t="str">
        <f t="shared" ca="1" si="155"/>
        <v>O.K.</v>
      </c>
      <c r="W114" s="1" t="s">
        <v>68</v>
      </c>
      <c r="X114" s="50">
        <v>780</v>
      </c>
      <c r="Y114" s="48">
        <v>150</v>
      </c>
      <c r="Z114" s="49">
        <v>150</v>
      </c>
      <c r="AA114" s="49">
        <v>150</v>
      </c>
      <c r="AB114" s="49">
        <v>150</v>
      </c>
      <c r="AC114" s="31">
        <v>252</v>
      </c>
      <c r="AD114" s="28">
        <f t="shared" si="185"/>
        <v>102</v>
      </c>
      <c r="AE114" s="52">
        <v>149.5</v>
      </c>
      <c r="AF114" s="52">
        <f>+(0)+(0)+(0)+(0)+(54)+(162)</f>
        <v>216</v>
      </c>
      <c r="AG114" s="49">
        <v>150</v>
      </c>
      <c r="AH114" s="22">
        <f t="shared" si="156"/>
        <v>317.5</v>
      </c>
      <c r="AI114" s="52">
        <f t="shared" si="81"/>
        <v>0</v>
      </c>
      <c r="AJ114" s="52">
        <f>+(78)+(108)+(0)+(0)+(78)+(0)</f>
        <v>264</v>
      </c>
      <c r="AK114" s="49">
        <v>150</v>
      </c>
      <c r="AL114" s="31">
        <f t="shared" si="157"/>
        <v>431.5</v>
      </c>
      <c r="AM114" s="52">
        <f>+(0)+(0)+(54)+(0)+(0)+(30)</f>
        <v>84</v>
      </c>
      <c r="AN114" s="52">
        <f t="shared" si="82"/>
        <v>0</v>
      </c>
      <c r="AO114" s="72">
        <v>150</v>
      </c>
      <c r="AP114" s="74">
        <f t="shared" si="158"/>
        <v>365.5</v>
      </c>
      <c r="AQ114" s="76">
        <f>+(0)+(0)+(0)+(0)+(54)+(0)</f>
        <v>54</v>
      </c>
      <c r="AR114" s="76">
        <f t="shared" si="83"/>
        <v>0</v>
      </c>
      <c r="AS114" s="74">
        <v>150</v>
      </c>
      <c r="AT114" s="74">
        <f t="shared" si="170"/>
        <v>269.5</v>
      </c>
      <c r="AU114" s="73">
        <f t="shared" si="104"/>
        <v>0</v>
      </c>
      <c r="AV114" s="73">
        <f>+(0)+(0)+(0)+(90)+(0)+(0)+(30)+(0)</f>
        <v>120</v>
      </c>
      <c r="AW114" s="73">
        <v>150</v>
      </c>
      <c r="AX114" s="73">
        <f t="shared" si="162"/>
        <v>239.5</v>
      </c>
      <c r="AY114" s="109">
        <f>+(0)+(0)+(0)+(78)</f>
        <v>78</v>
      </c>
      <c r="AZ114" s="109">
        <f>+(0)+(0)+(78)+(0)+(78)+(0)+(108)+(120)</f>
        <v>384</v>
      </c>
      <c r="BA114" s="61">
        <v>150</v>
      </c>
      <c r="BB114" s="61">
        <f t="shared" si="77"/>
        <v>551.5</v>
      </c>
      <c r="BD114" s="88">
        <v>0</v>
      </c>
      <c r="BE114" s="153">
        <v>78</v>
      </c>
      <c r="BF114" s="88">
        <v>0</v>
      </c>
      <c r="BG114" s="88">
        <v>0</v>
      </c>
      <c r="BH114" s="88">
        <v>0</v>
      </c>
      <c r="BI114" s="88">
        <v>0</v>
      </c>
      <c r="BJ114" s="88">
        <v>0</v>
      </c>
      <c r="BK114" s="88">
        <v>0</v>
      </c>
      <c r="BL114" s="88">
        <v>0</v>
      </c>
      <c r="BM114" s="88">
        <v>0</v>
      </c>
      <c r="BN114" s="88">
        <v>0</v>
      </c>
      <c r="BO114" s="88">
        <v>0</v>
      </c>
      <c r="BP114" s="210">
        <v>150</v>
      </c>
      <c r="BQ114" s="208">
        <f t="shared" si="112"/>
        <v>479.5</v>
      </c>
      <c r="BR114" s="175">
        <f t="shared" si="106"/>
        <v>2430</v>
      </c>
    </row>
    <row r="115" spans="1:70" ht="25.8" thickBot="1" x14ac:dyDescent="0.65">
      <c r="A115" s="64">
        <v>107</v>
      </c>
      <c r="B115" s="181" t="s">
        <v>69</v>
      </c>
      <c r="C115" s="182" t="s">
        <v>23</v>
      </c>
      <c r="D115" s="200" t="s">
        <v>144</v>
      </c>
      <c r="E115" s="184">
        <v>6</v>
      </c>
      <c r="F115" s="185">
        <f t="shared" si="143"/>
        <v>3199.9800000000005</v>
      </c>
      <c r="G115" s="185">
        <f t="shared" si="184"/>
        <v>1416</v>
      </c>
      <c r="H115" s="186">
        <f t="shared" si="183"/>
        <v>4615.9800000000005</v>
      </c>
      <c r="I115" s="187">
        <v>9</v>
      </c>
      <c r="J115" s="88">
        <v>9</v>
      </c>
      <c r="K115" s="212" t="s">
        <v>315</v>
      </c>
      <c r="L115" s="199">
        <v>46642</v>
      </c>
      <c r="M115" s="191"/>
      <c r="N115" s="189" t="str">
        <f t="shared" ca="1" si="155"/>
        <v>O.K.</v>
      </c>
      <c r="W115" s="1" t="s">
        <v>69</v>
      </c>
      <c r="X115" s="50">
        <v>120</v>
      </c>
      <c r="Y115" s="48">
        <v>120</v>
      </c>
      <c r="Z115" s="49">
        <v>96</v>
      </c>
      <c r="AA115" s="49">
        <v>120</v>
      </c>
      <c r="AB115" s="49">
        <v>120</v>
      </c>
      <c r="AC115" s="31">
        <v>234</v>
      </c>
      <c r="AD115" s="28">
        <f t="shared" si="185"/>
        <v>114</v>
      </c>
      <c r="AE115" s="52">
        <f>132+54</f>
        <v>186</v>
      </c>
      <c r="AF115" s="52">
        <f>+(108.6)+(0)+(0)+(0)+(54)+(54)</f>
        <v>216.6</v>
      </c>
      <c r="AG115" s="49">
        <v>120</v>
      </c>
      <c r="AH115" s="22">
        <f t="shared" si="156"/>
        <v>396.6</v>
      </c>
      <c r="AI115" s="52">
        <f>+(0)+(0)+(0)+(0)+(108)+(0)</f>
        <v>108</v>
      </c>
      <c r="AJ115" s="52">
        <f>+(0)+(78)+(0)+(0)+(0)+(0)</f>
        <v>78</v>
      </c>
      <c r="AK115" s="49">
        <v>120</v>
      </c>
      <c r="AL115" s="31">
        <f t="shared" si="157"/>
        <v>462.6</v>
      </c>
      <c r="AM115" s="52">
        <f t="shared" si="82"/>
        <v>0</v>
      </c>
      <c r="AN115" s="52">
        <f>+(0)+(249)+(0)+(0)+(216)+(96)</f>
        <v>561</v>
      </c>
      <c r="AO115" s="72">
        <v>120</v>
      </c>
      <c r="AP115" s="74">
        <f t="shared" si="158"/>
        <v>903.6</v>
      </c>
      <c r="AQ115" s="76">
        <f>+(0)+(0)+(0)+(78)+(186)+(108)</f>
        <v>372</v>
      </c>
      <c r="AR115" s="76">
        <f>+(0)+(192)+(0)+(0)+(0)+(0)</f>
        <v>192</v>
      </c>
      <c r="AS115" s="74">
        <v>120</v>
      </c>
      <c r="AT115" s="74">
        <f t="shared" si="170"/>
        <v>1347.6</v>
      </c>
      <c r="AU115" s="73">
        <f t="shared" si="104"/>
        <v>0</v>
      </c>
      <c r="AV115" s="73">
        <f>+(0)+(0)+(0)+(0)+(0)+(0)+(0)+(85.8)</f>
        <v>85.8</v>
      </c>
      <c r="AW115" s="74">
        <v>120</v>
      </c>
      <c r="AX115" s="74">
        <f t="shared" si="162"/>
        <v>1313.3999999999999</v>
      </c>
      <c r="AY115" s="109">
        <f t="shared" si="123"/>
        <v>0</v>
      </c>
      <c r="AZ115" s="109">
        <f>+(60)+(0)+(30)+(0)+(21)+(0)+(0)+(0)</f>
        <v>111</v>
      </c>
      <c r="BA115" s="61">
        <v>120</v>
      </c>
      <c r="BB115" s="61">
        <f t="shared" si="77"/>
        <v>1304.3999999999999</v>
      </c>
      <c r="BD115" s="153">
        <v>30</v>
      </c>
      <c r="BE115" s="88">
        <v>0</v>
      </c>
      <c r="BF115" s="88">
        <v>0</v>
      </c>
      <c r="BG115" s="88">
        <v>0</v>
      </c>
      <c r="BH115" s="88">
        <v>0</v>
      </c>
      <c r="BI115" s="88">
        <v>0</v>
      </c>
      <c r="BJ115" s="88">
        <v>0</v>
      </c>
      <c r="BK115" s="88">
        <v>0</v>
      </c>
      <c r="BL115" s="88">
        <v>0</v>
      </c>
      <c r="BM115" s="88">
        <v>0</v>
      </c>
      <c r="BN115" s="88">
        <v>0</v>
      </c>
      <c r="BO115" s="88">
        <v>0</v>
      </c>
      <c r="BP115" s="210">
        <v>120</v>
      </c>
      <c r="BQ115" s="208">
        <f t="shared" si="112"/>
        <v>1214.3999999999999</v>
      </c>
      <c r="BR115" s="175">
        <f t="shared" si="106"/>
        <v>1416</v>
      </c>
    </row>
    <row r="116" spans="1:70" ht="25.8" thickBot="1" x14ac:dyDescent="0.65">
      <c r="A116" s="64">
        <v>108</v>
      </c>
      <c r="B116" s="90" t="s">
        <v>70</v>
      </c>
      <c r="C116" s="91" t="s">
        <v>23</v>
      </c>
      <c r="D116" s="90" t="s">
        <v>145</v>
      </c>
      <c r="E116" s="92">
        <v>15</v>
      </c>
      <c r="F116" s="93">
        <f t="shared" si="143"/>
        <v>7999.9500000000007</v>
      </c>
      <c r="G116" s="93">
        <f t="shared" si="184"/>
        <v>3394.8</v>
      </c>
      <c r="H116" s="94">
        <f t="shared" si="183"/>
        <v>11394.75</v>
      </c>
      <c r="I116" s="95">
        <v>1</v>
      </c>
      <c r="J116" s="88">
        <v>1</v>
      </c>
      <c r="L116" s="100"/>
      <c r="M116" s="96"/>
      <c r="N116" s="97" t="s">
        <v>25</v>
      </c>
      <c r="W116" s="1" t="s">
        <v>70</v>
      </c>
      <c r="X116" s="50">
        <v>2098.8000000000002</v>
      </c>
      <c r="Y116" s="48">
        <v>120</v>
      </c>
      <c r="Z116" s="49">
        <v>96</v>
      </c>
      <c r="AA116" s="49">
        <v>120</v>
      </c>
      <c r="AB116" s="49">
        <v>120</v>
      </c>
      <c r="AC116" s="31">
        <v>156</v>
      </c>
      <c r="AD116" s="28">
        <f t="shared" si="185"/>
        <v>36</v>
      </c>
      <c r="AE116" s="52">
        <f>132+54</f>
        <v>186</v>
      </c>
      <c r="AF116" s="52">
        <f>+(115.8)+(0)+(0)+(78)+(54)+(54)</f>
        <v>301.8</v>
      </c>
      <c r="AG116" s="49">
        <v>120</v>
      </c>
      <c r="AH116" s="22">
        <f t="shared" si="156"/>
        <v>403.79999999999995</v>
      </c>
      <c r="AI116" s="52">
        <f t="shared" si="81"/>
        <v>0</v>
      </c>
      <c r="AJ116" s="52">
        <f t="shared" si="81"/>
        <v>0</v>
      </c>
      <c r="AK116" s="49">
        <v>120</v>
      </c>
      <c r="AL116" s="31">
        <f t="shared" si="157"/>
        <v>283.79999999999995</v>
      </c>
      <c r="AM116" s="52">
        <f t="shared" si="82"/>
        <v>0</v>
      </c>
      <c r="AN116" s="52">
        <f>+(0)+(0)+(0)+(0)+(216)+(0)</f>
        <v>216</v>
      </c>
      <c r="AO116" s="72">
        <v>120</v>
      </c>
      <c r="AP116" s="74">
        <f t="shared" si="158"/>
        <v>379.79999999999995</v>
      </c>
      <c r="AQ116" s="76">
        <f t="shared" si="83"/>
        <v>0</v>
      </c>
      <c r="AR116" s="76">
        <f t="shared" si="83"/>
        <v>0</v>
      </c>
      <c r="AS116" s="74">
        <v>120</v>
      </c>
      <c r="AT116" s="74">
        <f t="shared" si="170"/>
        <v>259.79999999999995</v>
      </c>
      <c r="AU116" s="73">
        <f>+(0)+(0)+(0)+(204)</f>
        <v>204</v>
      </c>
      <c r="AV116" s="73">
        <f t="shared" si="110"/>
        <v>0</v>
      </c>
      <c r="AW116" s="73">
        <v>120</v>
      </c>
      <c r="AX116" s="73">
        <f t="shared" si="162"/>
        <v>343.79999999999995</v>
      </c>
      <c r="AY116" s="109">
        <f t="shared" si="123"/>
        <v>0</v>
      </c>
      <c r="AZ116" s="109">
        <f>+(0)+(0)+(0)+(0)+(0)+(0)+(0)+(78)</f>
        <v>78</v>
      </c>
      <c r="BA116" s="61">
        <v>120</v>
      </c>
      <c r="BB116" s="61">
        <f t="shared" ref="BB116:BB138" si="186">(AX116+AY116+AZ116)-BA116</f>
        <v>301.79999999999995</v>
      </c>
      <c r="BD116" s="153">
        <v>30</v>
      </c>
      <c r="BE116" s="88">
        <v>0</v>
      </c>
      <c r="BF116" s="88">
        <v>0</v>
      </c>
      <c r="BG116" s="88">
        <v>0</v>
      </c>
      <c r="BH116" s="88">
        <v>0</v>
      </c>
      <c r="BI116" s="88">
        <v>0</v>
      </c>
      <c r="BJ116" s="88">
        <v>0</v>
      </c>
      <c r="BK116" s="88">
        <v>0</v>
      </c>
      <c r="BL116" s="88">
        <v>0</v>
      </c>
      <c r="BM116" s="88">
        <v>0</v>
      </c>
      <c r="BN116" s="88">
        <v>0</v>
      </c>
      <c r="BO116" s="88">
        <v>0</v>
      </c>
      <c r="BP116" s="210">
        <v>120</v>
      </c>
      <c r="BQ116" s="208">
        <f t="shared" si="112"/>
        <v>211.79999999999995</v>
      </c>
      <c r="BR116" s="175">
        <f t="shared" si="106"/>
        <v>3394.8</v>
      </c>
    </row>
    <row r="117" spans="1:70" ht="25.8" thickBot="1" x14ac:dyDescent="0.65">
      <c r="A117" s="64">
        <v>109</v>
      </c>
      <c r="B117" s="112" t="s">
        <v>72</v>
      </c>
      <c r="C117" s="113" t="s">
        <v>23</v>
      </c>
      <c r="D117" s="124" t="s">
        <v>147</v>
      </c>
      <c r="E117" s="115">
        <v>7</v>
      </c>
      <c r="F117" s="116">
        <f t="shared" si="143"/>
        <v>3733.3100000000004</v>
      </c>
      <c r="G117" s="116">
        <f t="shared" si="184"/>
        <v>1410</v>
      </c>
      <c r="H117" s="117">
        <f t="shared" si="183"/>
        <v>5143.3100000000004</v>
      </c>
      <c r="I117" s="118">
        <v>9</v>
      </c>
      <c r="J117" s="88">
        <v>9</v>
      </c>
      <c r="L117" s="119">
        <v>46082</v>
      </c>
      <c r="M117" s="120"/>
      <c r="N117" s="121" t="str">
        <f t="shared" ref="N117:N127" ca="1" si="187">IF($B$2&lt;L117,"O.K.","A L E R T A ")</f>
        <v>O.K.</v>
      </c>
      <c r="W117" s="1" t="s">
        <v>72</v>
      </c>
      <c r="X117" s="50">
        <v>270</v>
      </c>
      <c r="Y117" s="48">
        <v>96</v>
      </c>
      <c r="Z117" s="49">
        <v>96</v>
      </c>
      <c r="AA117" s="49">
        <v>120</v>
      </c>
      <c r="AB117" s="49">
        <v>0</v>
      </c>
      <c r="AC117" s="31">
        <v>0</v>
      </c>
      <c r="AD117" s="28">
        <f t="shared" si="185"/>
        <v>0</v>
      </c>
      <c r="AE117" s="52">
        <v>0</v>
      </c>
      <c r="AF117" s="52">
        <f>+(0)+(0)+(0)+(0)+(54)+(54)</f>
        <v>108</v>
      </c>
      <c r="AG117" s="49">
        <v>108</v>
      </c>
      <c r="AH117" s="22">
        <f t="shared" si="156"/>
        <v>0</v>
      </c>
      <c r="AI117" s="52">
        <f t="shared" si="81"/>
        <v>0</v>
      </c>
      <c r="AJ117" s="52">
        <f>+(0)+(0)+(156)+(0)+(0)+(0)</f>
        <v>156</v>
      </c>
      <c r="AK117" s="49">
        <v>120</v>
      </c>
      <c r="AL117" s="69">
        <f t="shared" si="157"/>
        <v>36</v>
      </c>
      <c r="AM117" s="52">
        <f t="shared" si="82"/>
        <v>0</v>
      </c>
      <c r="AN117" s="52">
        <f>+(0)+(528)+(0)+(0)+(96)+(0)</f>
        <v>624</v>
      </c>
      <c r="AO117" s="72">
        <v>120</v>
      </c>
      <c r="AP117" s="74">
        <f t="shared" si="158"/>
        <v>540</v>
      </c>
      <c r="AQ117" s="76">
        <f t="shared" si="83"/>
        <v>0</v>
      </c>
      <c r="AR117" s="76">
        <f>+(282)+(0)+(0)+(0)+(0)+(0)</f>
        <v>282</v>
      </c>
      <c r="AS117" s="74">
        <v>120</v>
      </c>
      <c r="AT117" s="74">
        <f t="shared" si="170"/>
        <v>702</v>
      </c>
      <c r="AU117" s="73">
        <f t="shared" si="104"/>
        <v>0</v>
      </c>
      <c r="AV117" s="73">
        <f>+(0)+(0)+(0)+(0)+(0)+(0)+(108)+(0)</f>
        <v>108</v>
      </c>
      <c r="AW117" s="73">
        <v>120</v>
      </c>
      <c r="AX117" s="73">
        <f t="shared" si="162"/>
        <v>690</v>
      </c>
      <c r="AY117" s="109">
        <f t="shared" si="123"/>
        <v>0</v>
      </c>
      <c r="AZ117" s="109">
        <f t="shared" si="111"/>
        <v>0</v>
      </c>
      <c r="BA117" s="61">
        <v>120</v>
      </c>
      <c r="BB117" s="61">
        <f t="shared" si="186"/>
        <v>570</v>
      </c>
      <c r="BD117" s="88">
        <v>0</v>
      </c>
      <c r="BE117" s="88">
        <v>0</v>
      </c>
      <c r="BF117" s="88">
        <v>0</v>
      </c>
      <c r="BG117" s="88">
        <v>0</v>
      </c>
      <c r="BH117" s="88">
        <v>0</v>
      </c>
      <c r="BI117" s="88">
        <v>0</v>
      </c>
      <c r="BJ117" s="88">
        <v>0</v>
      </c>
      <c r="BK117" s="88">
        <v>0</v>
      </c>
      <c r="BL117" s="88">
        <v>0</v>
      </c>
      <c r="BM117" s="88">
        <v>0</v>
      </c>
      <c r="BN117" s="88">
        <v>0</v>
      </c>
      <c r="BO117" s="88">
        <v>0</v>
      </c>
      <c r="BP117" s="210">
        <v>120</v>
      </c>
      <c r="BQ117" s="208">
        <f t="shared" si="112"/>
        <v>450</v>
      </c>
      <c r="BR117" s="175">
        <f t="shared" si="106"/>
        <v>1410</v>
      </c>
    </row>
    <row r="118" spans="1:70" ht="25.8" thickBot="1" x14ac:dyDescent="0.65">
      <c r="A118" s="64">
        <v>110</v>
      </c>
      <c r="B118" s="112" t="s">
        <v>444</v>
      </c>
      <c r="C118" s="113" t="s">
        <v>20</v>
      </c>
      <c r="D118" s="123">
        <v>45394</v>
      </c>
      <c r="E118" s="115">
        <v>0</v>
      </c>
      <c r="F118" s="116">
        <f t="shared" ref="F118" si="188">+E118*$C$1</f>
        <v>0</v>
      </c>
      <c r="G118" s="116">
        <f t="shared" ref="G118" si="189">+BR118</f>
        <v>300</v>
      </c>
      <c r="H118" s="117">
        <f t="shared" ref="H118" si="190">+F118+G118</f>
        <v>300</v>
      </c>
      <c r="I118" s="118">
        <v>15</v>
      </c>
      <c r="J118" s="88">
        <v>15</v>
      </c>
      <c r="L118" s="122">
        <v>46124</v>
      </c>
      <c r="M118" s="120"/>
      <c r="N118" s="121" t="str">
        <f t="shared" ca="1" si="187"/>
        <v>O.K.</v>
      </c>
      <c r="W118" s="1" t="s">
        <v>444</v>
      </c>
      <c r="X118" s="50"/>
      <c r="Y118" s="48"/>
      <c r="Z118" s="49"/>
      <c r="AA118" s="49"/>
      <c r="AB118" s="49"/>
      <c r="AC118" s="31"/>
      <c r="AD118" s="28"/>
      <c r="AE118" s="52"/>
      <c r="AF118" s="52"/>
      <c r="AG118" s="49"/>
      <c r="AH118" s="22"/>
      <c r="AI118" s="52"/>
      <c r="AJ118" s="52"/>
      <c r="AK118" s="49"/>
      <c r="AL118" s="69"/>
      <c r="AM118" s="52"/>
      <c r="AN118" s="52"/>
      <c r="AO118" s="72"/>
      <c r="AP118" s="74"/>
      <c r="AQ118" s="76"/>
      <c r="AR118" s="76"/>
      <c r="AS118" s="74"/>
      <c r="AT118" s="74"/>
      <c r="AU118" s="73"/>
      <c r="AV118" s="73"/>
      <c r="AW118" s="73">
        <v>0</v>
      </c>
      <c r="AX118" s="73">
        <f t="shared" si="162"/>
        <v>0</v>
      </c>
      <c r="AY118" s="109">
        <f>+(0)+(0)+(0)+(0)</f>
        <v>0</v>
      </c>
      <c r="AZ118" s="109">
        <f>+(0)+(0)+(786)+(0)+(0)+(0)+(0)+(37.8)</f>
        <v>823.8</v>
      </c>
      <c r="BA118" s="61">
        <v>150</v>
      </c>
      <c r="BB118" s="61">
        <f t="shared" si="186"/>
        <v>673.8</v>
      </c>
      <c r="BD118" s="153">
        <v>66.599999999999994</v>
      </c>
      <c r="BE118" s="88">
        <v>0</v>
      </c>
      <c r="BF118" s="88">
        <v>0</v>
      </c>
      <c r="BG118" s="88">
        <v>0</v>
      </c>
      <c r="BH118" s="88">
        <v>0</v>
      </c>
      <c r="BI118" s="88">
        <v>0</v>
      </c>
      <c r="BJ118" s="88">
        <v>0</v>
      </c>
      <c r="BK118" s="88">
        <v>0</v>
      </c>
      <c r="BL118" s="88">
        <v>0</v>
      </c>
      <c r="BM118" s="88">
        <v>0</v>
      </c>
      <c r="BN118" s="88">
        <v>0</v>
      </c>
      <c r="BO118" s="88">
        <v>0</v>
      </c>
      <c r="BP118" s="210">
        <v>150</v>
      </c>
      <c r="BQ118" s="208">
        <f t="shared" si="112"/>
        <v>590.4</v>
      </c>
      <c r="BR118" s="175">
        <f t="shared" si="106"/>
        <v>300</v>
      </c>
    </row>
    <row r="119" spans="1:70" ht="25.8" thickBot="1" x14ac:dyDescent="0.65">
      <c r="A119" s="64">
        <v>111</v>
      </c>
      <c r="B119" s="112" t="s">
        <v>360</v>
      </c>
      <c r="C119" s="113" t="s">
        <v>20</v>
      </c>
      <c r="D119" s="124" t="s">
        <v>139</v>
      </c>
      <c r="E119" s="115">
        <v>6</v>
      </c>
      <c r="F119" s="116">
        <f>+E119*$C$1</f>
        <v>3199.9800000000005</v>
      </c>
      <c r="G119" s="116">
        <f t="shared" si="184"/>
        <v>2323.5</v>
      </c>
      <c r="H119" s="117">
        <f t="shared" si="183"/>
        <v>5523.4800000000005</v>
      </c>
      <c r="I119" s="118">
        <v>9</v>
      </c>
      <c r="J119" s="88">
        <v>9</v>
      </c>
      <c r="L119" s="122">
        <v>46242</v>
      </c>
      <c r="M119" s="120"/>
      <c r="N119" s="121" t="str">
        <f t="shared" ca="1" si="187"/>
        <v>O.K.</v>
      </c>
      <c r="W119" s="1" t="s">
        <v>360</v>
      </c>
      <c r="X119" s="50">
        <v>750</v>
      </c>
      <c r="Y119" s="48">
        <v>145.5</v>
      </c>
      <c r="Z119" s="49">
        <v>96</v>
      </c>
      <c r="AA119" s="49">
        <v>150</v>
      </c>
      <c r="AB119" s="49">
        <v>132</v>
      </c>
      <c r="AC119" s="31">
        <v>132</v>
      </c>
      <c r="AD119" s="28">
        <f t="shared" si="185"/>
        <v>0</v>
      </c>
      <c r="AE119" s="52">
        <f>132.6+54+78</f>
        <v>264.60000000000002</v>
      </c>
      <c r="AF119" s="52">
        <f>+(0)+(132)+(0)+(0)+(132)+(162)</f>
        <v>426</v>
      </c>
      <c r="AG119" s="49">
        <v>150</v>
      </c>
      <c r="AH119" s="22">
        <f t="shared" si="156"/>
        <v>540.6</v>
      </c>
      <c r="AI119" s="52">
        <f>+(0)+(0)+(54)+(0)+(78)+(0)</f>
        <v>132</v>
      </c>
      <c r="AJ119" s="52">
        <f>+(0)+(0)+(0)+(0)+(75.6)+(0)</f>
        <v>75.599999999999994</v>
      </c>
      <c r="AK119" s="49">
        <v>150</v>
      </c>
      <c r="AL119" s="31">
        <f t="shared" si="157"/>
        <v>598.20000000000005</v>
      </c>
      <c r="AM119" s="52">
        <f t="shared" si="48"/>
        <v>0</v>
      </c>
      <c r="AN119" s="52">
        <f>+(0)+(0)+(0)+(0)+(21)+(0)</f>
        <v>21</v>
      </c>
      <c r="AO119" s="72">
        <v>150</v>
      </c>
      <c r="AP119" s="74">
        <f t="shared" si="158"/>
        <v>469.20000000000005</v>
      </c>
      <c r="AQ119" s="76">
        <f>+(0)+(30)+(0)+(0)+(54)+(0)</f>
        <v>84</v>
      </c>
      <c r="AR119" s="76">
        <f>+(0)+(37.8)+(0)+(0)+(0)+(0)</f>
        <v>37.799999999999997</v>
      </c>
      <c r="AS119" s="74">
        <v>150</v>
      </c>
      <c r="AT119" s="74">
        <f t="shared" si="170"/>
        <v>441</v>
      </c>
      <c r="AU119" s="73">
        <f>+(0)+(0)+(0)+(192)</f>
        <v>192</v>
      </c>
      <c r="AV119" s="73">
        <f>+(0)+(0)+(0)+(0)+(0)+(0)+(0)+(150)</f>
        <v>150</v>
      </c>
      <c r="AW119" s="74">
        <v>150</v>
      </c>
      <c r="AX119" s="74">
        <f t="shared" si="162"/>
        <v>633</v>
      </c>
      <c r="AY119" s="109">
        <f>+(0)+(0)+(0)+(78)</f>
        <v>78</v>
      </c>
      <c r="AZ119" s="109">
        <f>+(0)+(96)+(0)+(0)+(0)+(0)+(0)+(0)</f>
        <v>96</v>
      </c>
      <c r="BA119" s="61">
        <v>150</v>
      </c>
      <c r="BB119" s="61">
        <f t="shared" si="186"/>
        <v>657</v>
      </c>
      <c r="BD119" s="88">
        <v>0</v>
      </c>
      <c r="BE119" s="88">
        <v>0</v>
      </c>
      <c r="BF119" s="88">
        <v>0</v>
      </c>
      <c r="BG119" s="88">
        <v>0</v>
      </c>
      <c r="BH119" s="88">
        <v>0</v>
      </c>
      <c r="BI119" s="88">
        <v>0</v>
      </c>
      <c r="BJ119" s="88">
        <v>0</v>
      </c>
      <c r="BK119" s="88">
        <v>0</v>
      </c>
      <c r="BL119" s="88">
        <v>0</v>
      </c>
      <c r="BM119" s="88">
        <v>0</v>
      </c>
      <c r="BN119" s="88">
        <v>0</v>
      </c>
      <c r="BO119" s="88">
        <v>0</v>
      </c>
      <c r="BP119" s="210">
        <v>150</v>
      </c>
      <c r="BQ119" s="208">
        <f t="shared" si="112"/>
        <v>507</v>
      </c>
      <c r="BR119" s="175">
        <f t="shared" si="106"/>
        <v>2323.5</v>
      </c>
    </row>
    <row r="120" spans="1:70" ht="25.8" thickBot="1" x14ac:dyDescent="0.65">
      <c r="A120" s="64">
        <v>112</v>
      </c>
      <c r="B120" s="166" t="s">
        <v>183</v>
      </c>
      <c r="C120" s="156" t="s">
        <v>23</v>
      </c>
      <c r="D120" s="170">
        <v>41456</v>
      </c>
      <c r="E120" s="168">
        <v>6</v>
      </c>
      <c r="F120" s="160">
        <f t="shared" si="143"/>
        <v>3199.9800000000005</v>
      </c>
      <c r="G120" s="160">
        <f t="shared" si="184"/>
        <v>1162.2</v>
      </c>
      <c r="H120" s="161">
        <f t="shared" si="183"/>
        <v>4362.18</v>
      </c>
      <c r="I120" s="162">
        <v>10</v>
      </c>
      <c r="J120" s="88">
        <v>10</v>
      </c>
      <c r="L120" s="173">
        <v>46478</v>
      </c>
      <c r="M120" s="164"/>
      <c r="N120" s="165" t="str">
        <f t="shared" ca="1" si="187"/>
        <v>O.K.</v>
      </c>
      <c r="W120" s="1" t="s">
        <v>183</v>
      </c>
      <c r="X120" s="50">
        <v>270</v>
      </c>
      <c r="Y120" s="48">
        <v>96</v>
      </c>
      <c r="Z120" s="49">
        <v>96</v>
      </c>
      <c r="AA120" s="49">
        <v>120</v>
      </c>
      <c r="AB120" s="49">
        <v>120</v>
      </c>
      <c r="AC120" s="31">
        <v>187.2</v>
      </c>
      <c r="AD120" s="28">
        <f t="shared" si="185"/>
        <v>67.199999999999989</v>
      </c>
      <c r="AE120" s="52">
        <v>0</v>
      </c>
      <c r="AF120" s="52">
        <f>+(0)+(0)+(0)+(0)+(0)+(37.8)</f>
        <v>37.799999999999997</v>
      </c>
      <c r="AG120" s="49">
        <v>105</v>
      </c>
      <c r="AH120" s="22">
        <f t="shared" si="156"/>
        <v>0</v>
      </c>
      <c r="AI120" s="52">
        <f t="shared" si="81"/>
        <v>0</v>
      </c>
      <c r="AJ120" s="52">
        <f>+(0)+(0)+(0)+(0)+(0)+(54)</f>
        <v>54</v>
      </c>
      <c r="AK120" s="49">
        <v>54</v>
      </c>
      <c r="AL120" s="69">
        <f t="shared" si="157"/>
        <v>0</v>
      </c>
      <c r="AM120" s="52">
        <f t="shared" si="82"/>
        <v>0</v>
      </c>
      <c r="AN120" s="52">
        <f>+(0)+(0)+(0)+(0)+(0)+(108)</f>
        <v>108</v>
      </c>
      <c r="AO120" s="72">
        <v>108</v>
      </c>
      <c r="AP120" s="74">
        <f t="shared" si="158"/>
        <v>0</v>
      </c>
      <c r="AQ120" s="76">
        <f t="shared" si="83"/>
        <v>0</v>
      </c>
      <c r="AR120" s="76">
        <f>+(0)+(67.2)+(0)+(0)+(0)+(0)</f>
        <v>67.2</v>
      </c>
      <c r="AS120" s="74">
        <v>67.2</v>
      </c>
      <c r="AT120" s="74">
        <f t="shared" si="170"/>
        <v>0</v>
      </c>
      <c r="AU120" s="73">
        <f t="shared" si="104"/>
        <v>0</v>
      </c>
      <c r="AV120" s="73">
        <f>+(0)+(0)+(96)+(0)+(0)+(0)+(0)+(0)</f>
        <v>96</v>
      </c>
      <c r="AW120" s="73">
        <v>96</v>
      </c>
      <c r="AX120" s="73">
        <f t="shared" si="162"/>
        <v>0</v>
      </c>
      <c r="AY120" s="109">
        <f t="shared" si="123"/>
        <v>0</v>
      </c>
      <c r="AZ120" s="109">
        <f t="shared" si="111"/>
        <v>0</v>
      </c>
      <c r="BA120" s="61">
        <v>0</v>
      </c>
      <c r="BB120" s="61">
        <f t="shared" si="186"/>
        <v>0</v>
      </c>
      <c r="BD120" s="153">
        <v>30</v>
      </c>
      <c r="BE120" s="88">
        <v>0</v>
      </c>
      <c r="BF120" s="88">
        <v>0</v>
      </c>
      <c r="BG120" s="88">
        <v>0</v>
      </c>
      <c r="BH120" s="88">
        <v>0</v>
      </c>
      <c r="BI120" s="88">
        <v>0</v>
      </c>
      <c r="BJ120" s="88">
        <v>0</v>
      </c>
      <c r="BK120" s="88">
        <v>0</v>
      </c>
      <c r="BL120" s="88">
        <v>0</v>
      </c>
      <c r="BM120" s="88">
        <v>0</v>
      </c>
      <c r="BN120" s="88">
        <v>0</v>
      </c>
      <c r="BO120" s="88">
        <v>0</v>
      </c>
      <c r="BP120" s="210">
        <v>30</v>
      </c>
      <c r="BQ120" s="208">
        <f t="shared" si="112"/>
        <v>0</v>
      </c>
      <c r="BR120" s="175">
        <f t="shared" si="106"/>
        <v>1162.2</v>
      </c>
    </row>
    <row r="121" spans="1:70" ht="25.8" thickBot="1" x14ac:dyDescent="0.65">
      <c r="A121" s="64">
        <v>113</v>
      </c>
      <c r="B121" s="166" t="s">
        <v>433</v>
      </c>
      <c r="C121" s="156" t="s">
        <v>171</v>
      </c>
      <c r="D121" s="167">
        <v>45292</v>
      </c>
      <c r="E121" s="168">
        <v>2</v>
      </c>
      <c r="F121" s="160">
        <f t="shared" ref="F121" si="191">+E121*$C$1</f>
        <v>1066.6600000000001</v>
      </c>
      <c r="G121" s="160">
        <f t="shared" ref="G121" si="192">+BR121</f>
        <v>240</v>
      </c>
      <c r="H121" s="161">
        <f t="shared" ref="H121" si="193">+F121+G121</f>
        <v>1306.6600000000001</v>
      </c>
      <c r="I121" s="162">
        <v>14</v>
      </c>
      <c r="J121" s="88">
        <v>14</v>
      </c>
      <c r="L121" s="169">
        <v>46431</v>
      </c>
      <c r="M121" s="164"/>
      <c r="N121" s="165" t="str">
        <f t="shared" ca="1" si="187"/>
        <v>O.K.</v>
      </c>
      <c r="W121" s="1" t="s">
        <v>433</v>
      </c>
      <c r="X121" s="50">
        <v>0</v>
      </c>
      <c r="Y121" s="48">
        <v>0</v>
      </c>
      <c r="Z121" s="49">
        <v>0</v>
      </c>
      <c r="AA121" s="49">
        <v>0</v>
      </c>
      <c r="AB121" s="49">
        <v>0</v>
      </c>
      <c r="AC121" s="31">
        <v>0</v>
      </c>
      <c r="AD121" s="28">
        <f t="shared" si="185"/>
        <v>0</v>
      </c>
      <c r="AE121" s="52">
        <v>0</v>
      </c>
      <c r="AF121" s="52">
        <v>0</v>
      </c>
      <c r="AG121" s="49">
        <v>0</v>
      </c>
      <c r="AH121" s="22">
        <f t="shared" si="156"/>
        <v>0</v>
      </c>
      <c r="AI121" s="52">
        <v>0</v>
      </c>
      <c r="AJ121" s="52">
        <v>0</v>
      </c>
      <c r="AK121" s="49">
        <v>0</v>
      </c>
      <c r="AL121" s="31">
        <f t="shared" si="157"/>
        <v>0</v>
      </c>
      <c r="AM121" s="52">
        <v>0</v>
      </c>
      <c r="AN121" s="52">
        <v>0</v>
      </c>
      <c r="AO121" s="72">
        <v>0</v>
      </c>
      <c r="AP121" s="74">
        <f t="shared" si="158"/>
        <v>0</v>
      </c>
      <c r="AQ121" s="76">
        <v>0</v>
      </c>
      <c r="AR121" s="76">
        <v>0</v>
      </c>
      <c r="AS121" s="74">
        <v>0</v>
      </c>
      <c r="AT121" s="74">
        <f t="shared" si="170"/>
        <v>0</v>
      </c>
      <c r="AU121" s="73">
        <f t="shared" si="104"/>
        <v>0</v>
      </c>
      <c r="AV121" s="73">
        <f t="shared" si="110"/>
        <v>0</v>
      </c>
      <c r="AW121" s="73">
        <v>0</v>
      </c>
      <c r="AX121" s="73">
        <f t="shared" si="162"/>
        <v>0</v>
      </c>
      <c r="AY121" s="109">
        <f t="shared" si="123"/>
        <v>0</v>
      </c>
      <c r="AZ121" s="109">
        <f>+(0)+(0)+(0)+(0)+(0)+(0)+(0)+(240)</f>
        <v>240</v>
      </c>
      <c r="BA121" s="61">
        <v>120</v>
      </c>
      <c r="BB121" s="61">
        <f t="shared" si="186"/>
        <v>120</v>
      </c>
      <c r="BD121" s="88">
        <v>0</v>
      </c>
      <c r="BE121" s="153">
        <v>140.4</v>
      </c>
      <c r="BF121" s="88">
        <v>0</v>
      </c>
      <c r="BG121" s="88">
        <v>0</v>
      </c>
      <c r="BH121" s="88">
        <v>0</v>
      </c>
      <c r="BI121" s="88">
        <v>0</v>
      </c>
      <c r="BJ121" s="88">
        <v>0</v>
      </c>
      <c r="BK121" s="88">
        <v>0</v>
      </c>
      <c r="BL121" s="88">
        <v>0</v>
      </c>
      <c r="BM121" s="88">
        <v>0</v>
      </c>
      <c r="BN121" s="88">
        <v>0</v>
      </c>
      <c r="BO121" s="88">
        <v>0</v>
      </c>
      <c r="BP121" s="210">
        <v>120</v>
      </c>
      <c r="BQ121" s="208">
        <f t="shared" si="112"/>
        <v>140.39999999999998</v>
      </c>
      <c r="BR121" s="175">
        <f t="shared" si="106"/>
        <v>240</v>
      </c>
    </row>
    <row r="122" spans="1:70" ht="25.8" thickBot="1" x14ac:dyDescent="0.65">
      <c r="A122" s="64">
        <v>114</v>
      </c>
      <c r="B122" s="112" t="s">
        <v>453</v>
      </c>
      <c r="C122" s="113" t="s">
        <v>171</v>
      </c>
      <c r="D122" s="114">
        <v>45516</v>
      </c>
      <c r="E122" s="115">
        <v>0</v>
      </c>
      <c r="F122" s="116">
        <f t="shared" ref="F122" si="194">+E122*$C$1</f>
        <v>0</v>
      </c>
      <c r="G122" s="116">
        <f t="shared" ref="G122" si="195">+BR122</f>
        <v>162</v>
      </c>
      <c r="H122" s="117">
        <f t="shared" ref="H122" si="196">+F122+G122</f>
        <v>162</v>
      </c>
      <c r="I122" s="118">
        <v>15</v>
      </c>
      <c r="J122" s="88">
        <v>15</v>
      </c>
      <c r="L122" s="122">
        <v>46068</v>
      </c>
      <c r="M122" s="120"/>
      <c r="N122" s="121" t="str">
        <f t="shared" ca="1" si="187"/>
        <v>O.K.</v>
      </c>
      <c r="W122" s="1" t="s">
        <v>453</v>
      </c>
      <c r="X122" s="50"/>
      <c r="Y122" s="48"/>
      <c r="Z122" s="49"/>
      <c r="AA122" s="49"/>
      <c r="AB122" s="49"/>
      <c r="AC122" s="31"/>
      <c r="AD122" s="28"/>
      <c r="AE122" s="52"/>
      <c r="AF122" s="52"/>
      <c r="AG122" s="49"/>
      <c r="AH122" s="22"/>
      <c r="AI122" s="52"/>
      <c r="AJ122" s="52"/>
      <c r="AK122" s="49"/>
      <c r="AL122" s="31"/>
      <c r="AM122" s="52"/>
      <c r="AN122" s="52"/>
      <c r="AO122" s="72"/>
      <c r="AP122" s="74"/>
      <c r="AQ122" s="76"/>
      <c r="AR122" s="76"/>
      <c r="AS122" s="74"/>
      <c r="AT122" s="74"/>
      <c r="AU122" s="73">
        <f t="shared" si="104"/>
        <v>0</v>
      </c>
      <c r="AV122" s="73">
        <f t="shared" si="110"/>
        <v>0</v>
      </c>
      <c r="AW122" s="73">
        <v>0</v>
      </c>
      <c r="AX122" s="73">
        <f t="shared" ref="AX122" si="197">+AT122+AU122+AV122-AW122</f>
        <v>0</v>
      </c>
      <c r="AY122" s="109">
        <f t="shared" si="123"/>
        <v>0</v>
      </c>
      <c r="AZ122" s="109">
        <f>+(0)+(0)+(0)+(0)+(0)+(0)+(0)+(108)</f>
        <v>108</v>
      </c>
      <c r="BA122" s="61">
        <v>108</v>
      </c>
      <c r="BB122" s="61">
        <f t="shared" si="186"/>
        <v>0</v>
      </c>
      <c r="BD122" s="153">
        <v>54</v>
      </c>
      <c r="BE122" s="88">
        <v>0</v>
      </c>
      <c r="BF122" s="88">
        <v>0</v>
      </c>
      <c r="BG122" s="88">
        <v>0</v>
      </c>
      <c r="BH122" s="88">
        <v>0</v>
      </c>
      <c r="BI122" s="88">
        <v>0</v>
      </c>
      <c r="BJ122" s="88">
        <v>0</v>
      </c>
      <c r="BK122" s="88">
        <v>0</v>
      </c>
      <c r="BL122" s="88">
        <v>0</v>
      </c>
      <c r="BM122" s="88">
        <v>0</v>
      </c>
      <c r="BN122" s="88">
        <v>0</v>
      </c>
      <c r="BO122" s="88">
        <v>0</v>
      </c>
      <c r="BP122" s="210">
        <v>54</v>
      </c>
      <c r="BQ122" s="208">
        <f t="shared" si="112"/>
        <v>0</v>
      </c>
      <c r="BR122" s="175">
        <f t="shared" si="106"/>
        <v>162</v>
      </c>
    </row>
    <row r="123" spans="1:70" ht="25.8" thickBot="1" x14ac:dyDescent="0.65">
      <c r="A123" s="64">
        <v>115</v>
      </c>
      <c r="B123" s="112" t="s">
        <v>184</v>
      </c>
      <c r="C123" s="113" t="s">
        <v>23</v>
      </c>
      <c r="D123" s="114">
        <v>42401</v>
      </c>
      <c r="E123" s="115">
        <v>5</v>
      </c>
      <c r="F123" s="116">
        <f t="shared" si="143"/>
        <v>2666.65</v>
      </c>
      <c r="G123" s="116">
        <f>+BR123</f>
        <v>1362</v>
      </c>
      <c r="H123" s="117">
        <f>+F123+G123</f>
        <v>4028.65</v>
      </c>
      <c r="I123" s="118">
        <v>10</v>
      </c>
      <c r="J123" s="88">
        <v>10</v>
      </c>
      <c r="L123" s="122">
        <v>46126</v>
      </c>
      <c r="M123" s="120"/>
      <c r="N123" s="121" t="str">
        <f t="shared" ca="1" si="187"/>
        <v>O.K.</v>
      </c>
      <c r="W123" s="1" t="s">
        <v>184</v>
      </c>
      <c r="X123" s="68">
        <v>78</v>
      </c>
      <c r="Y123" s="48">
        <v>96</v>
      </c>
      <c r="Z123" s="49">
        <v>108</v>
      </c>
      <c r="AA123" s="49">
        <v>120</v>
      </c>
      <c r="AB123" s="49">
        <v>120</v>
      </c>
      <c r="AC123" s="31">
        <v>132.6</v>
      </c>
      <c r="AD123" s="28">
        <f t="shared" si="185"/>
        <v>12.599999999999994</v>
      </c>
      <c r="AE123" s="52">
        <f>132+132.6</f>
        <v>264.60000000000002</v>
      </c>
      <c r="AF123" s="52">
        <f>+(0)+(37.8)+(0)+(0)+(0)+(54)</f>
        <v>91.8</v>
      </c>
      <c r="AG123" s="49">
        <v>120</v>
      </c>
      <c r="AH123" s="22">
        <f t="shared" si="156"/>
        <v>249</v>
      </c>
      <c r="AI123" s="52">
        <f>+(0)+(0)+(196.8)+(0)+(193.8)+(0)</f>
        <v>390.6</v>
      </c>
      <c r="AJ123" s="52">
        <f>+(278.4)+(0)+(0)+(0)+(54.6)+(0)</f>
        <v>333</v>
      </c>
      <c r="AK123" s="49">
        <v>120</v>
      </c>
      <c r="AL123" s="31">
        <f t="shared" si="157"/>
        <v>852.6</v>
      </c>
      <c r="AM123" s="52">
        <f>+(0)+(0)+(0)+(0)+(0)+(21)</f>
        <v>21</v>
      </c>
      <c r="AN123" s="52">
        <f>+(0)+(153.6)+(0)+(0)+(134.4)+(78)</f>
        <v>366</v>
      </c>
      <c r="AO123" s="72">
        <v>120</v>
      </c>
      <c r="AP123" s="74">
        <f t="shared" si="158"/>
        <v>1119.5999999999999</v>
      </c>
      <c r="AQ123" s="76">
        <f t="shared" si="83"/>
        <v>0</v>
      </c>
      <c r="AR123" s="76">
        <f>+(108)+(142.8)+(0)+(0)+(0)+(0)</f>
        <v>250.8</v>
      </c>
      <c r="AS123" s="74">
        <v>120</v>
      </c>
      <c r="AT123" s="74">
        <f t="shared" si="170"/>
        <v>1250.3999999999999</v>
      </c>
      <c r="AU123" s="73">
        <f>+(0)+(0)+(176.4)+(120)</f>
        <v>296.39999999999998</v>
      </c>
      <c r="AV123" s="73">
        <f>+(0)+(130.2)+(120)+(54.6)+(54)+(54)+(162.6)+(0)</f>
        <v>575.4</v>
      </c>
      <c r="AW123" s="73">
        <v>120</v>
      </c>
      <c r="AX123" s="73">
        <f t="shared" si="162"/>
        <v>2002.1999999999998</v>
      </c>
      <c r="AY123" s="109">
        <f>+(0)+(0)+(0)+(54)</f>
        <v>54</v>
      </c>
      <c r="AZ123" s="109">
        <f>+(0)+(0)+(0)+(0)+(0)+(108)+(51)+(0)</f>
        <v>159</v>
      </c>
      <c r="BA123" s="61">
        <v>120</v>
      </c>
      <c r="BB123" s="61">
        <f t="shared" si="186"/>
        <v>2095.1999999999998</v>
      </c>
      <c r="BD123" s="153">
        <v>30</v>
      </c>
      <c r="BE123" s="88">
        <v>0</v>
      </c>
      <c r="BF123" s="88">
        <v>0</v>
      </c>
      <c r="BG123" s="88">
        <v>0</v>
      </c>
      <c r="BH123" s="88">
        <v>0</v>
      </c>
      <c r="BI123" s="88">
        <v>0</v>
      </c>
      <c r="BJ123" s="88">
        <v>0</v>
      </c>
      <c r="BK123" s="88">
        <v>0</v>
      </c>
      <c r="BL123" s="88">
        <v>0</v>
      </c>
      <c r="BM123" s="88">
        <v>0</v>
      </c>
      <c r="BN123" s="88">
        <v>0</v>
      </c>
      <c r="BO123" s="88">
        <v>0</v>
      </c>
      <c r="BP123" s="210">
        <v>120</v>
      </c>
      <c r="BQ123" s="208">
        <f t="shared" si="112"/>
        <v>2005.1999999999998</v>
      </c>
      <c r="BR123" s="175">
        <f t="shared" si="106"/>
        <v>1362</v>
      </c>
    </row>
    <row r="124" spans="1:70" ht="25.8" thickBot="1" x14ac:dyDescent="0.65">
      <c r="A124" s="64">
        <v>116</v>
      </c>
      <c r="B124" s="112" t="s">
        <v>343</v>
      </c>
      <c r="C124" s="113" t="s">
        <v>20</v>
      </c>
      <c r="D124" s="114">
        <v>44503</v>
      </c>
      <c r="E124" s="115">
        <v>9</v>
      </c>
      <c r="F124" s="116">
        <f t="shared" si="143"/>
        <v>4799.97</v>
      </c>
      <c r="G124" s="116">
        <f>+BR124</f>
        <v>2733.2</v>
      </c>
      <c r="H124" s="117">
        <f>+F124+G124</f>
        <v>7533.17</v>
      </c>
      <c r="I124" s="118">
        <v>6</v>
      </c>
      <c r="J124" s="88">
        <v>6</v>
      </c>
      <c r="K124" s="212" t="s">
        <v>315</v>
      </c>
      <c r="L124" s="122">
        <v>46179</v>
      </c>
      <c r="M124" s="120"/>
      <c r="N124" s="121" t="str">
        <f t="shared" ca="1" si="187"/>
        <v>O.K.</v>
      </c>
      <c r="W124" s="1" t="s">
        <v>343</v>
      </c>
      <c r="X124" s="68">
        <v>2066</v>
      </c>
      <c r="Y124" s="48">
        <v>0</v>
      </c>
      <c r="Z124" s="49">
        <v>0</v>
      </c>
      <c r="AA124" s="49">
        <v>0</v>
      </c>
      <c r="AB124" s="49">
        <v>0</v>
      </c>
      <c r="AC124" s="31">
        <v>0</v>
      </c>
      <c r="AD124" s="28">
        <f t="shared" si="185"/>
        <v>0</v>
      </c>
      <c r="AE124" s="52">
        <v>0</v>
      </c>
      <c r="AF124" s="52">
        <v>0</v>
      </c>
      <c r="AG124" s="49">
        <v>0</v>
      </c>
      <c r="AH124" s="22">
        <f t="shared" si="156"/>
        <v>0</v>
      </c>
      <c r="AI124" s="52">
        <f t="shared" si="81"/>
        <v>0</v>
      </c>
      <c r="AJ124" s="52">
        <f t="shared" si="81"/>
        <v>0</v>
      </c>
      <c r="AK124" s="49">
        <v>0</v>
      </c>
      <c r="AL124" s="31">
        <f t="shared" si="157"/>
        <v>0</v>
      </c>
      <c r="AM124" s="52">
        <f t="shared" si="82"/>
        <v>0</v>
      </c>
      <c r="AN124" s="52">
        <f>+(0)+(67.2)+(0)+(0)+(0)+(96)</f>
        <v>163.19999999999999</v>
      </c>
      <c r="AO124" s="72">
        <v>150</v>
      </c>
      <c r="AP124" s="74">
        <f t="shared" si="158"/>
        <v>13.199999999999989</v>
      </c>
      <c r="AQ124" s="76">
        <f>+(0)+(0)+(0)+(0)+(54)+(0)</f>
        <v>54</v>
      </c>
      <c r="AR124" s="76">
        <f t="shared" si="83"/>
        <v>0</v>
      </c>
      <c r="AS124" s="74">
        <v>67.2</v>
      </c>
      <c r="AT124" s="74">
        <f t="shared" si="170"/>
        <v>0</v>
      </c>
      <c r="AU124" s="73">
        <f>+(0)+(0)+(0)+(174)</f>
        <v>174</v>
      </c>
      <c r="AV124" s="73">
        <f>+(0)+(120)+(0)+(0)+(0)+(0)+(0)+(0)</f>
        <v>120</v>
      </c>
      <c r="AW124" s="73">
        <v>150</v>
      </c>
      <c r="AX124" s="73">
        <f t="shared" si="162"/>
        <v>144</v>
      </c>
      <c r="AY124" s="109">
        <f>+(0)+(0)+(0)+(54)</f>
        <v>54</v>
      </c>
      <c r="AZ124" s="109">
        <f>+(0)+(108)+(78)+(0)+(0)+(0)+(0)+(54.6)</f>
        <v>240.6</v>
      </c>
      <c r="BA124" s="61">
        <v>150</v>
      </c>
      <c r="BB124" s="61">
        <f t="shared" si="186"/>
        <v>288.60000000000002</v>
      </c>
      <c r="BD124" s="88">
        <v>0</v>
      </c>
      <c r="BE124" s="88">
        <v>0</v>
      </c>
      <c r="BF124" s="88">
        <v>0</v>
      </c>
      <c r="BG124" s="88">
        <v>0</v>
      </c>
      <c r="BH124" s="88">
        <v>0</v>
      </c>
      <c r="BI124" s="88">
        <v>0</v>
      </c>
      <c r="BJ124" s="88">
        <v>0</v>
      </c>
      <c r="BK124" s="88">
        <v>0</v>
      </c>
      <c r="BL124" s="88">
        <v>0</v>
      </c>
      <c r="BM124" s="88">
        <v>0</v>
      </c>
      <c r="BN124" s="88">
        <v>0</v>
      </c>
      <c r="BO124" s="88">
        <v>0</v>
      </c>
      <c r="BP124" s="210">
        <v>150</v>
      </c>
      <c r="BQ124" s="208">
        <f t="shared" si="112"/>
        <v>138.60000000000002</v>
      </c>
      <c r="BR124" s="175">
        <f t="shared" si="106"/>
        <v>2733.2</v>
      </c>
    </row>
    <row r="125" spans="1:70" ht="25.8" thickBot="1" x14ac:dyDescent="0.65">
      <c r="A125" s="64">
        <v>117</v>
      </c>
      <c r="B125" s="166" t="s">
        <v>247</v>
      </c>
      <c r="C125" s="156" t="s">
        <v>20</v>
      </c>
      <c r="D125" s="167">
        <v>42856</v>
      </c>
      <c r="E125" s="168">
        <v>4</v>
      </c>
      <c r="F125" s="160">
        <f t="shared" si="143"/>
        <v>2133.3200000000002</v>
      </c>
      <c r="G125" s="160">
        <f>+BR125</f>
        <v>1350</v>
      </c>
      <c r="H125" s="161">
        <f>+F125+G125</f>
        <v>3483.32</v>
      </c>
      <c r="I125" s="162">
        <v>11</v>
      </c>
      <c r="J125" s="88">
        <v>11</v>
      </c>
      <c r="K125" s="212" t="s">
        <v>315</v>
      </c>
      <c r="L125" s="169">
        <v>46508</v>
      </c>
      <c r="M125" s="164"/>
      <c r="N125" s="165" t="str">
        <f t="shared" ca="1" si="187"/>
        <v>O.K.</v>
      </c>
      <c r="W125" s="1" t="s">
        <v>247</v>
      </c>
      <c r="X125" s="50">
        <v>0</v>
      </c>
      <c r="Y125" s="48">
        <v>0</v>
      </c>
      <c r="Z125" s="49">
        <v>0</v>
      </c>
      <c r="AA125" s="49">
        <v>150</v>
      </c>
      <c r="AB125" s="49">
        <v>150</v>
      </c>
      <c r="AC125" s="31">
        <v>408</v>
      </c>
      <c r="AD125" s="28">
        <f t="shared" si="185"/>
        <v>258</v>
      </c>
      <c r="AE125" s="52">
        <v>108</v>
      </c>
      <c r="AF125" s="52">
        <f>+(0)+(0)+(0)+(54)+(0)+(108)</f>
        <v>162</v>
      </c>
      <c r="AG125" s="49">
        <v>150</v>
      </c>
      <c r="AH125" s="22">
        <f t="shared" si="156"/>
        <v>378</v>
      </c>
      <c r="AI125" s="52">
        <f>+(0)+(0)+(0)+(0)+(108)+(0)</f>
        <v>108</v>
      </c>
      <c r="AJ125" s="52">
        <f>+(78)+(0)+(75.6)+(0)+(0)+(0)</f>
        <v>153.6</v>
      </c>
      <c r="AK125" s="49">
        <v>150</v>
      </c>
      <c r="AL125" s="31">
        <f t="shared" si="157"/>
        <v>489.6</v>
      </c>
      <c r="AM125" s="52">
        <f t="shared" si="82"/>
        <v>0</v>
      </c>
      <c r="AN125" s="52">
        <f>+(0)+(0)+(0)+(0)+(96)+(96)</f>
        <v>192</v>
      </c>
      <c r="AO125" s="72">
        <v>150</v>
      </c>
      <c r="AP125" s="74">
        <f t="shared" si="158"/>
        <v>531.6</v>
      </c>
      <c r="AQ125" s="76">
        <f>+(96)+(0)+(0)+(198)+(54)+(0)</f>
        <v>348</v>
      </c>
      <c r="AR125" s="76">
        <f t="shared" si="83"/>
        <v>0</v>
      </c>
      <c r="AS125" s="74">
        <v>150</v>
      </c>
      <c r="AT125" s="74">
        <f t="shared" si="170"/>
        <v>729.6</v>
      </c>
      <c r="AU125" s="73">
        <f t="shared" si="104"/>
        <v>0</v>
      </c>
      <c r="AV125" s="73">
        <f t="shared" si="110"/>
        <v>0</v>
      </c>
      <c r="AW125" s="73">
        <v>150</v>
      </c>
      <c r="AX125" s="73">
        <f t="shared" si="162"/>
        <v>579.6</v>
      </c>
      <c r="AY125" s="109">
        <f t="shared" si="123"/>
        <v>0</v>
      </c>
      <c r="AZ125" s="109">
        <f>+(0)+(54)+(0)+(120)+(0)+(0)+(0)+(54.6)</f>
        <v>228.6</v>
      </c>
      <c r="BA125" s="61">
        <v>150</v>
      </c>
      <c r="BB125" s="61">
        <f t="shared" si="186"/>
        <v>658.2</v>
      </c>
      <c r="BD125" s="153">
        <v>54.6</v>
      </c>
      <c r="BE125" s="88">
        <v>0</v>
      </c>
      <c r="BF125" s="88">
        <v>0</v>
      </c>
      <c r="BG125" s="88">
        <v>0</v>
      </c>
      <c r="BH125" s="88">
        <v>0</v>
      </c>
      <c r="BI125" s="88">
        <v>0</v>
      </c>
      <c r="BJ125" s="88">
        <v>0</v>
      </c>
      <c r="BK125" s="88">
        <v>0</v>
      </c>
      <c r="BL125" s="88">
        <v>0</v>
      </c>
      <c r="BM125" s="88">
        <v>0</v>
      </c>
      <c r="BN125" s="88">
        <v>0</v>
      </c>
      <c r="BO125" s="88">
        <v>0</v>
      </c>
      <c r="BP125" s="210">
        <v>150</v>
      </c>
      <c r="BQ125" s="208">
        <f t="shared" si="112"/>
        <v>562.80000000000007</v>
      </c>
      <c r="BR125" s="175">
        <f t="shared" si="106"/>
        <v>1350</v>
      </c>
    </row>
    <row r="126" spans="1:70" ht="25.8" thickBot="1" x14ac:dyDescent="0.65">
      <c r="A126" s="64">
        <v>118</v>
      </c>
      <c r="B126" s="166" t="s">
        <v>405</v>
      </c>
      <c r="C126" s="156" t="s">
        <v>23</v>
      </c>
      <c r="D126" s="167">
        <v>45114</v>
      </c>
      <c r="E126" s="168">
        <v>1</v>
      </c>
      <c r="F126" s="160">
        <f t="shared" ref="F126" si="198">+E126*$C$1</f>
        <v>533.33000000000004</v>
      </c>
      <c r="G126" s="160">
        <f t="shared" ref="G126" si="199">+BR126</f>
        <v>0</v>
      </c>
      <c r="H126" s="161">
        <f t="shared" ref="H126" si="200">+F126+G126</f>
        <v>533.33000000000004</v>
      </c>
      <c r="I126" s="162">
        <v>15</v>
      </c>
      <c r="J126" s="88">
        <v>15</v>
      </c>
      <c r="L126" s="169">
        <v>46575</v>
      </c>
      <c r="M126" s="164"/>
      <c r="N126" s="165" t="str">
        <f t="shared" ca="1" si="187"/>
        <v>O.K.</v>
      </c>
      <c r="W126" s="1" t="s">
        <v>405</v>
      </c>
      <c r="X126" s="50">
        <v>0</v>
      </c>
      <c r="Y126" s="48">
        <v>0</v>
      </c>
      <c r="Z126" s="49">
        <v>0</v>
      </c>
      <c r="AA126" s="49">
        <v>0</v>
      </c>
      <c r="AB126" s="49">
        <v>0</v>
      </c>
      <c r="AC126" s="31">
        <v>0</v>
      </c>
      <c r="AD126" s="28">
        <f t="shared" si="185"/>
        <v>0</v>
      </c>
      <c r="AE126" s="52">
        <v>0</v>
      </c>
      <c r="AF126" s="52">
        <v>0</v>
      </c>
      <c r="AG126" s="49">
        <v>0</v>
      </c>
      <c r="AH126" s="22">
        <f t="shared" si="156"/>
        <v>0</v>
      </c>
      <c r="AI126" s="52">
        <v>0</v>
      </c>
      <c r="AJ126" s="52">
        <v>0</v>
      </c>
      <c r="AK126" s="49">
        <v>0</v>
      </c>
      <c r="AL126" s="31">
        <f t="shared" si="157"/>
        <v>0</v>
      </c>
      <c r="AM126" s="52">
        <v>0</v>
      </c>
      <c r="AN126" s="52">
        <v>0</v>
      </c>
      <c r="AO126" s="72">
        <v>0</v>
      </c>
      <c r="AP126" s="74">
        <f t="shared" si="158"/>
        <v>0</v>
      </c>
      <c r="AQ126" s="76">
        <f t="shared" si="83"/>
        <v>0</v>
      </c>
      <c r="AR126" s="76">
        <f t="shared" si="83"/>
        <v>0</v>
      </c>
      <c r="AS126" s="74">
        <v>0</v>
      </c>
      <c r="AT126" s="74">
        <f t="shared" si="170"/>
        <v>0</v>
      </c>
      <c r="AU126" s="73">
        <f t="shared" si="104"/>
        <v>0</v>
      </c>
      <c r="AV126" s="73">
        <f t="shared" si="110"/>
        <v>0</v>
      </c>
      <c r="AW126" s="73">
        <v>0</v>
      </c>
      <c r="AX126" s="73">
        <f t="shared" si="162"/>
        <v>0</v>
      </c>
      <c r="AY126" s="109">
        <f t="shared" si="123"/>
        <v>0</v>
      </c>
      <c r="AZ126" s="109">
        <f t="shared" si="111"/>
        <v>0</v>
      </c>
      <c r="BA126" s="61">
        <v>0</v>
      </c>
      <c r="BB126" s="61">
        <f t="shared" si="186"/>
        <v>0</v>
      </c>
      <c r="BD126" s="88">
        <v>0</v>
      </c>
      <c r="BE126" s="88">
        <v>0</v>
      </c>
      <c r="BF126" s="88">
        <v>0</v>
      </c>
      <c r="BG126" s="88">
        <v>0</v>
      </c>
      <c r="BH126" s="88">
        <v>0</v>
      </c>
      <c r="BI126" s="88">
        <v>0</v>
      </c>
      <c r="BJ126" s="88">
        <v>0</v>
      </c>
      <c r="BK126" s="88">
        <v>0</v>
      </c>
      <c r="BL126" s="88">
        <v>0</v>
      </c>
      <c r="BM126" s="88">
        <v>0</v>
      </c>
      <c r="BN126" s="88">
        <v>0</v>
      </c>
      <c r="BO126" s="88">
        <v>0</v>
      </c>
      <c r="BP126" s="210">
        <v>0</v>
      </c>
      <c r="BQ126" s="208">
        <f t="shared" si="112"/>
        <v>0</v>
      </c>
      <c r="BR126" s="175">
        <f t="shared" si="106"/>
        <v>0</v>
      </c>
    </row>
    <row r="127" spans="1:70" ht="25.8" thickBot="1" x14ac:dyDescent="0.65">
      <c r="A127" s="64">
        <v>119</v>
      </c>
      <c r="B127" s="166" t="s">
        <v>185</v>
      </c>
      <c r="C127" s="156" t="s">
        <v>23</v>
      </c>
      <c r="D127" s="167">
        <v>42454</v>
      </c>
      <c r="E127" s="168">
        <v>8</v>
      </c>
      <c r="F127" s="160">
        <f t="shared" si="143"/>
        <v>4266.6400000000003</v>
      </c>
      <c r="G127" s="160">
        <f>+BR127</f>
        <v>732</v>
      </c>
      <c r="H127" s="161">
        <f>+F127+G127</f>
        <v>4998.6400000000003</v>
      </c>
      <c r="I127" s="162">
        <v>9</v>
      </c>
      <c r="J127" s="88">
        <v>9</v>
      </c>
      <c r="L127" s="169">
        <v>46470</v>
      </c>
      <c r="M127" s="164"/>
      <c r="N127" s="165" t="str">
        <f t="shared" ca="1" si="187"/>
        <v>O.K.</v>
      </c>
      <c r="W127" s="1" t="s">
        <v>185</v>
      </c>
      <c r="X127" s="50">
        <v>0</v>
      </c>
      <c r="Y127" s="48">
        <v>96</v>
      </c>
      <c r="Z127" s="49">
        <v>96</v>
      </c>
      <c r="AA127" s="49">
        <v>120</v>
      </c>
      <c r="AB127" s="49">
        <v>120</v>
      </c>
      <c r="AC127" s="31">
        <v>234</v>
      </c>
      <c r="AD127" s="28">
        <f t="shared" ref="AD127:AD138" si="201">+AC127-AB127</f>
        <v>114</v>
      </c>
      <c r="AE127" s="52">
        <v>78</v>
      </c>
      <c r="AF127" s="52">
        <f t="shared" si="180"/>
        <v>0</v>
      </c>
      <c r="AG127" s="49">
        <v>120</v>
      </c>
      <c r="AH127" s="22">
        <f t="shared" ref="AH127:AH136" si="202">+AD127+(AE127+AF127)-AG127</f>
        <v>72</v>
      </c>
      <c r="AI127" s="52">
        <f t="shared" si="81"/>
        <v>0</v>
      </c>
      <c r="AJ127" s="52">
        <f t="shared" si="81"/>
        <v>0</v>
      </c>
      <c r="AK127" s="49">
        <v>72</v>
      </c>
      <c r="AL127" s="31">
        <f t="shared" ref="AL127:AL138" si="203">+AH127+AI127+AJ127-AK127</f>
        <v>0</v>
      </c>
      <c r="AM127" s="52">
        <f t="shared" si="82"/>
        <v>0</v>
      </c>
      <c r="AN127" s="52">
        <f t="shared" si="82"/>
        <v>0</v>
      </c>
      <c r="AO127" s="72">
        <v>0</v>
      </c>
      <c r="AP127" s="74">
        <f t="shared" ref="AP127:AP138" si="204">+AL127+AM127+AN127-AO127</f>
        <v>0</v>
      </c>
      <c r="AQ127" s="76">
        <f>+(108)+(0)+(0)+(0)+(0)+(0)</f>
        <v>108</v>
      </c>
      <c r="AR127" s="76">
        <f t="shared" si="83"/>
        <v>0</v>
      </c>
      <c r="AS127" s="74">
        <v>108</v>
      </c>
      <c r="AT127" s="74">
        <f t="shared" ref="AT127:AT138" si="205">+AP127+AQ127+AR127-AS127</f>
        <v>0</v>
      </c>
      <c r="AU127" s="73">
        <f t="shared" si="104"/>
        <v>0</v>
      </c>
      <c r="AV127" s="73">
        <f t="shared" si="110"/>
        <v>0</v>
      </c>
      <c r="AW127" s="73">
        <v>0</v>
      </c>
      <c r="AX127" s="73">
        <f t="shared" ref="AX127:AX134" si="206">+AT127+AU127+AV127-AW127</f>
        <v>0</v>
      </c>
      <c r="AY127" s="109">
        <f t="shared" si="123"/>
        <v>0</v>
      </c>
      <c r="AZ127" s="109">
        <f t="shared" si="111"/>
        <v>0</v>
      </c>
      <c r="BA127" s="61">
        <v>0</v>
      </c>
      <c r="BB127" s="61">
        <f t="shared" si="186"/>
        <v>0</v>
      </c>
      <c r="BD127" s="88">
        <v>0</v>
      </c>
      <c r="BE127" s="88">
        <v>0</v>
      </c>
      <c r="BF127" s="88">
        <v>0</v>
      </c>
      <c r="BG127" s="88">
        <v>0</v>
      </c>
      <c r="BH127" s="88">
        <v>0</v>
      </c>
      <c r="BI127" s="88">
        <v>0</v>
      </c>
      <c r="BJ127" s="88">
        <v>0</v>
      </c>
      <c r="BK127" s="88">
        <v>0</v>
      </c>
      <c r="BL127" s="88">
        <v>0</v>
      </c>
      <c r="BM127" s="88">
        <v>0</v>
      </c>
      <c r="BN127" s="88">
        <v>0</v>
      </c>
      <c r="BO127" s="88">
        <v>0</v>
      </c>
      <c r="BP127" s="210">
        <v>0</v>
      </c>
      <c r="BQ127" s="208">
        <f t="shared" si="112"/>
        <v>0</v>
      </c>
      <c r="BR127" s="175">
        <f t="shared" si="106"/>
        <v>732</v>
      </c>
    </row>
    <row r="128" spans="1:70" ht="25.8" thickBot="1" x14ac:dyDescent="0.65">
      <c r="A128" s="64">
        <v>120</v>
      </c>
      <c r="B128" s="90" t="s">
        <v>74</v>
      </c>
      <c r="C128" s="91" t="s">
        <v>23</v>
      </c>
      <c r="D128" s="90" t="s">
        <v>148</v>
      </c>
      <c r="E128" s="92">
        <v>15</v>
      </c>
      <c r="F128" s="93">
        <f>+E128*$C$1</f>
        <v>7999.9500000000007</v>
      </c>
      <c r="G128" s="93">
        <f>+BR128</f>
        <v>2400</v>
      </c>
      <c r="H128" s="94">
        <f>+F128+G128</f>
        <v>10399.950000000001</v>
      </c>
      <c r="I128" s="95">
        <v>2</v>
      </c>
      <c r="J128" s="88">
        <v>2</v>
      </c>
      <c r="L128" s="100"/>
      <c r="M128" s="96"/>
      <c r="N128" s="97" t="s">
        <v>25</v>
      </c>
      <c r="W128" s="1" t="s">
        <v>74</v>
      </c>
      <c r="X128" s="50">
        <v>1980</v>
      </c>
      <c r="Y128" s="48">
        <v>96</v>
      </c>
      <c r="Z128" s="49">
        <v>96</v>
      </c>
      <c r="AA128" s="49">
        <v>96</v>
      </c>
      <c r="AB128" s="49">
        <v>120</v>
      </c>
      <c r="AC128" s="31">
        <v>132</v>
      </c>
      <c r="AD128" s="28">
        <f t="shared" si="201"/>
        <v>12</v>
      </c>
      <c r="AE128" s="52">
        <v>0</v>
      </c>
      <c r="AF128" s="52">
        <f t="shared" si="180"/>
        <v>0</v>
      </c>
      <c r="AG128" s="49">
        <v>12</v>
      </c>
      <c r="AH128" s="22">
        <f t="shared" si="202"/>
        <v>0</v>
      </c>
      <c r="AI128" s="52">
        <f t="shared" si="81"/>
        <v>0</v>
      </c>
      <c r="AJ128" s="52">
        <f t="shared" si="81"/>
        <v>0</v>
      </c>
      <c r="AK128" s="49">
        <v>0</v>
      </c>
      <c r="AL128" s="69">
        <f t="shared" si="203"/>
        <v>0</v>
      </c>
      <c r="AM128" s="52">
        <f t="shared" si="82"/>
        <v>0</v>
      </c>
      <c r="AN128" s="52">
        <f t="shared" si="82"/>
        <v>0</v>
      </c>
      <c r="AO128" s="72">
        <v>0</v>
      </c>
      <c r="AP128" s="74">
        <f t="shared" si="204"/>
        <v>0</v>
      </c>
      <c r="AQ128" s="76">
        <f t="shared" si="83"/>
        <v>0</v>
      </c>
      <c r="AR128" s="76">
        <f t="shared" si="83"/>
        <v>0</v>
      </c>
      <c r="AS128" s="74">
        <v>0</v>
      </c>
      <c r="AT128" s="74">
        <f t="shared" si="205"/>
        <v>0</v>
      </c>
      <c r="AU128" s="73">
        <f t="shared" si="104"/>
        <v>0</v>
      </c>
      <c r="AV128" s="73">
        <f t="shared" si="110"/>
        <v>0</v>
      </c>
      <c r="AW128" s="73">
        <v>0</v>
      </c>
      <c r="AX128" s="73">
        <f t="shared" si="206"/>
        <v>0</v>
      </c>
      <c r="AY128" s="109">
        <f t="shared" si="123"/>
        <v>0</v>
      </c>
      <c r="AZ128" s="109">
        <f t="shared" si="111"/>
        <v>0</v>
      </c>
      <c r="BA128" s="61">
        <v>0</v>
      </c>
      <c r="BB128" s="61">
        <f t="shared" si="186"/>
        <v>0</v>
      </c>
      <c r="BD128" s="88">
        <v>0</v>
      </c>
      <c r="BE128" s="88">
        <v>0</v>
      </c>
      <c r="BF128" s="88">
        <v>0</v>
      </c>
      <c r="BG128" s="88">
        <v>0</v>
      </c>
      <c r="BH128" s="88">
        <v>0</v>
      </c>
      <c r="BI128" s="88">
        <v>0</v>
      </c>
      <c r="BJ128" s="88">
        <v>0</v>
      </c>
      <c r="BK128" s="88">
        <v>0</v>
      </c>
      <c r="BL128" s="88">
        <v>0</v>
      </c>
      <c r="BM128" s="88">
        <v>0</v>
      </c>
      <c r="BN128" s="88">
        <v>0</v>
      </c>
      <c r="BO128" s="88">
        <v>0</v>
      </c>
      <c r="BP128" s="210">
        <v>0</v>
      </c>
      <c r="BQ128" s="208">
        <f t="shared" si="112"/>
        <v>0</v>
      </c>
      <c r="BR128" s="175">
        <f t="shared" si="106"/>
        <v>2400</v>
      </c>
    </row>
    <row r="129" spans="1:70" ht="25.8" thickBot="1" x14ac:dyDescent="0.65">
      <c r="A129" s="64">
        <v>121</v>
      </c>
      <c r="B129" s="112" t="s">
        <v>294</v>
      </c>
      <c r="C129" s="113" t="s">
        <v>20</v>
      </c>
      <c r="D129" s="114">
        <v>43132</v>
      </c>
      <c r="E129" s="116">
        <v>4</v>
      </c>
      <c r="F129" s="116">
        <f>+E129*$C$1</f>
        <v>2133.3200000000002</v>
      </c>
      <c r="G129" s="116">
        <f>+BR129</f>
        <v>1411.8</v>
      </c>
      <c r="H129" s="117">
        <f>+F129+G129</f>
        <v>3545.12</v>
      </c>
      <c r="I129" s="118">
        <v>11</v>
      </c>
      <c r="J129" s="88">
        <v>11</v>
      </c>
      <c r="L129" s="119">
        <v>46266</v>
      </c>
      <c r="M129" s="120"/>
      <c r="N129" s="121" t="str">
        <f t="shared" ref="N129:N134" ca="1" si="207">IF($B$2&lt;L129,"O.K.","A L E R T A ")</f>
        <v>O.K.</v>
      </c>
      <c r="W129" s="1" t="s">
        <v>294</v>
      </c>
      <c r="X129" s="51">
        <v>115.8</v>
      </c>
      <c r="Y129" s="48">
        <v>0</v>
      </c>
      <c r="Z129" s="49">
        <v>0</v>
      </c>
      <c r="AA129" s="49">
        <v>96</v>
      </c>
      <c r="AB129" s="49">
        <v>150</v>
      </c>
      <c r="AC129" s="31">
        <v>342</v>
      </c>
      <c r="AD129" s="28">
        <f t="shared" si="201"/>
        <v>192</v>
      </c>
      <c r="AE129" s="52">
        <f>54+115.8+78</f>
        <v>247.8</v>
      </c>
      <c r="AF129" s="52">
        <f>+(0)+(0)+(0)+(108)+(108.6)+(162)</f>
        <v>378.6</v>
      </c>
      <c r="AG129" s="49">
        <v>150</v>
      </c>
      <c r="AH129" s="22">
        <f t="shared" si="202"/>
        <v>668.40000000000009</v>
      </c>
      <c r="AI129" s="52">
        <f t="shared" si="81"/>
        <v>0</v>
      </c>
      <c r="AJ129" s="52">
        <f>+(120)+(0)+(0)+(0)+(264)+(0)</f>
        <v>384</v>
      </c>
      <c r="AK129" s="49">
        <v>150</v>
      </c>
      <c r="AL129" s="31">
        <f t="shared" si="203"/>
        <v>902.40000000000009</v>
      </c>
      <c r="AM129" s="52">
        <f>+(0)+(0)+(108)+(0)+(0)+(0)</f>
        <v>108</v>
      </c>
      <c r="AN129" s="52">
        <f>+(0)+(78)+(120)+(0)+(0)+(0)</f>
        <v>198</v>
      </c>
      <c r="AO129" s="72">
        <v>150</v>
      </c>
      <c r="AP129" s="74">
        <f t="shared" si="204"/>
        <v>1058.4000000000001</v>
      </c>
      <c r="AQ129" s="76">
        <f t="shared" si="83"/>
        <v>0</v>
      </c>
      <c r="AR129" s="76">
        <f t="shared" si="83"/>
        <v>0</v>
      </c>
      <c r="AS129" s="74">
        <v>150</v>
      </c>
      <c r="AT129" s="74">
        <f t="shared" si="205"/>
        <v>908.40000000000009</v>
      </c>
      <c r="AU129" s="73">
        <f>+(0)+(0)+(0)+(96)</f>
        <v>96</v>
      </c>
      <c r="AV129" s="73">
        <f t="shared" si="110"/>
        <v>0</v>
      </c>
      <c r="AW129" s="73">
        <v>150</v>
      </c>
      <c r="AX129" s="73">
        <f t="shared" si="206"/>
        <v>854.40000000000009</v>
      </c>
      <c r="AY129" s="109">
        <f>+(0)+(0)+(0)+(78)</f>
        <v>78</v>
      </c>
      <c r="AZ129" s="109">
        <f>+(0)+(0)+(223.2)+(0)+(0)+(0)+(0)+(0)</f>
        <v>223.2</v>
      </c>
      <c r="BA129" s="61">
        <v>150</v>
      </c>
      <c r="BB129" s="61">
        <f t="shared" si="186"/>
        <v>1005.6000000000001</v>
      </c>
      <c r="BD129" s="153">
        <v>54.6</v>
      </c>
      <c r="BE129" s="88">
        <v>0</v>
      </c>
      <c r="BF129" s="88">
        <v>0</v>
      </c>
      <c r="BG129" s="88">
        <v>0</v>
      </c>
      <c r="BH129" s="88">
        <v>0</v>
      </c>
      <c r="BI129" s="88">
        <v>0</v>
      </c>
      <c r="BJ129" s="88">
        <v>0</v>
      </c>
      <c r="BK129" s="88">
        <v>0</v>
      </c>
      <c r="BL129" s="88">
        <v>0</v>
      </c>
      <c r="BM129" s="88">
        <v>0</v>
      </c>
      <c r="BN129" s="88">
        <v>0</v>
      </c>
      <c r="BO129" s="88">
        <v>0</v>
      </c>
      <c r="BP129" s="210">
        <v>150</v>
      </c>
      <c r="BQ129" s="208">
        <f t="shared" si="112"/>
        <v>910.2</v>
      </c>
      <c r="BR129" s="175">
        <f t="shared" si="106"/>
        <v>1411.8</v>
      </c>
    </row>
    <row r="130" spans="1:70" ht="25.8" thickBot="1" x14ac:dyDescent="0.65">
      <c r="A130" s="64">
        <v>122</v>
      </c>
      <c r="B130" s="112" t="s">
        <v>323</v>
      </c>
      <c r="C130" s="113" t="s">
        <v>23</v>
      </c>
      <c r="D130" s="114">
        <v>44197</v>
      </c>
      <c r="E130" s="116">
        <v>2</v>
      </c>
      <c r="F130" s="116">
        <f>+E130*$C$1</f>
        <v>1066.6600000000001</v>
      </c>
      <c r="G130" s="116">
        <f>+BR130</f>
        <v>720</v>
      </c>
      <c r="H130" s="117">
        <f>+F130+G130</f>
        <v>1786.66</v>
      </c>
      <c r="I130" s="118">
        <v>13</v>
      </c>
      <c r="J130" s="88">
        <v>13</v>
      </c>
      <c r="L130" s="119">
        <v>46113</v>
      </c>
      <c r="M130" s="120"/>
      <c r="N130" s="121" t="str">
        <f t="shared" ca="1" si="207"/>
        <v>O.K.</v>
      </c>
      <c r="W130" s="1" t="s">
        <v>323</v>
      </c>
      <c r="X130" s="51">
        <v>0</v>
      </c>
      <c r="Y130" s="48">
        <v>0</v>
      </c>
      <c r="Z130" s="49">
        <v>0</v>
      </c>
      <c r="AA130" s="49">
        <v>0</v>
      </c>
      <c r="AB130" s="49">
        <v>0</v>
      </c>
      <c r="AC130" s="31">
        <v>0</v>
      </c>
      <c r="AD130" s="28">
        <f t="shared" si="201"/>
        <v>0</v>
      </c>
      <c r="AE130" s="52">
        <f t="shared" ref="AE130:AF130" si="208">+(0)+(0)+(0)+(0)+(0)+(0)</f>
        <v>0</v>
      </c>
      <c r="AF130" s="52">
        <f t="shared" si="208"/>
        <v>0</v>
      </c>
      <c r="AG130" s="49">
        <v>0</v>
      </c>
      <c r="AH130" s="22">
        <f t="shared" si="202"/>
        <v>0</v>
      </c>
      <c r="AI130" s="52">
        <f t="shared" si="81"/>
        <v>0</v>
      </c>
      <c r="AJ130" s="52">
        <f>+(78)+(0)+(0)+(0)+(78)+(96)</f>
        <v>252</v>
      </c>
      <c r="AK130" s="49">
        <v>120</v>
      </c>
      <c r="AL130" s="31">
        <f t="shared" si="203"/>
        <v>132</v>
      </c>
      <c r="AM130" s="52">
        <f>+(0)+(0)+(0)+(0)+(0)+(78)</f>
        <v>78</v>
      </c>
      <c r="AN130" s="52">
        <f>+(0)+(0)+(0)+(0)+(0)+(330)</f>
        <v>330</v>
      </c>
      <c r="AO130" s="72">
        <v>120</v>
      </c>
      <c r="AP130" s="74">
        <f t="shared" si="204"/>
        <v>420</v>
      </c>
      <c r="AQ130" s="76">
        <f>+(0)+(0)+(0)+(0)+(186)+(0)</f>
        <v>186</v>
      </c>
      <c r="AR130" s="76">
        <f>+(78)+(517.8)+(0)+(0)+(0)+(0)</f>
        <v>595.79999999999995</v>
      </c>
      <c r="AS130" s="74">
        <v>120</v>
      </c>
      <c r="AT130" s="74">
        <f t="shared" si="205"/>
        <v>1081.8</v>
      </c>
      <c r="AU130" s="73">
        <f>+(0)+(0)+(0)+(108)</f>
        <v>108</v>
      </c>
      <c r="AV130" s="73">
        <f>+(0)+(0)+(96)+(0)+(0)+(78)+(108)+(0)</f>
        <v>282</v>
      </c>
      <c r="AW130" s="73">
        <v>120</v>
      </c>
      <c r="AX130" s="73">
        <f t="shared" si="206"/>
        <v>1351.8</v>
      </c>
      <c r="AY130" s="109">
        <f>+(0)+(0)+(0)+(132)</f>
        <v>132</v>
      </c>
      <c r="AZ130" s="109">
        <f>+(0)+(30)+(30)+(0)+(60)+(156)+(0)+(0)</f>
        <v>276</v>
      </c>
      <c r="BA130" s="61">
        <v>120</v>
      </c>
      <c r="BB130" s="61">
        <f t="shared" si="186"/>
        <v>1639.8</v>
      </c>
      <c r="BD130" s="88">
        <v>0</v>
      </c>
      <c r="BE130" s="88">
        <v>0</v>
      </c>
      <c r="BF130" s="88">
        <v>0</v>
      </c>
      <c r="BG130" s="88">
        <v>0</v>
      </c>
      <c r="BH130" s="88">
        <v>0</v>
      </c>
      <c r="BI130" s="88">
        <v>0</v>
      </c>
      <c r="BJ130" s="88">
        <v>0</v>
      </c>
      <c r="BK130" s="88">
        <v>0</v>
      </c>
      <c r="BL130" s="88">
        <v>0</v>
      </c>
      <c r="BM130" s="88">
        <v>0</v>
      </c>
      <c r="BN130" s="88">
        <v>0</v>
      </c>
      <c r="BO130" s="88">
        <v>0</v>
      </c>
      <c r="BP130" s="210">
        <v>120</v>
      </c>
      <c r="BQ130" s="208">
        <f t="shared" si="112"/>
        <v>1519.8</v>
      </c>
      <c r="BR130" s="175">
        <f t="shared" si="106"/>
        <v>720</v>
      </c>
    </row>
    <row r="131" spans="1:70" ht="25.8" thickBot="1" x14ac:dyDescent="0.65">
      <c r="A131" s="64">
        <v>123</v>
      </c>
      <c r="B131" s="112" t="s">
        <v>451</v>
      </c>
      <c r="C131" s="113" t="s">
        <v>20</v>
      </c>
      <c r="D131" s="114">
        <v>45824</v>
      </c>
      <c r="E131" s="116">
        <v>0</v>
      </c>
      <c r="F131" s="116">
        <f>+E131*$C$1</f>
        <v>0</v>
      </c>
      <c r="G131" s="116">
        <f>+BR131</f>
        <v>140.4</v>
      </c>
      <c r="H131" s="117">
        <f>+F131+G131</f>
        <v>140.4</v>
      </c>
      <c r="I131" s="118">
        <v>15</v>
      </c>
      <c r="J131" s="88">
        <v>15</v>
      </c>
      <c r="L131" s="119">
        <v>46381</v>
      </c>
      <c r="M131" s="120"/>
      <c r="N131" s="121" t="str">
        <f t="shared" ca="1" si="207"/>
        <v>O.K.</v>
      </c>
      <c r="W131" s="1" t="s">
        <v>451</v>
      </c>
      <c r="X131" s="51"/>
      <c r="Y131" s="48"/>
      <c r="Z131" s="49"/>
      <c r="AA131" s="49"/>
      <c r="AB131" s="49"/>
      <c r="AC131" s="31"/>
      <c r="AD131" s="28"/>
      <c r="AE131" s="52"/>
      <c r="AF131" s="52"/>
      <c r="AG131" s="49"/>
      <c r="AH131" s="22"/>
      <c r="AI131" s="52"/>
      <c r="AJ131" s="52"/>
      <c r="AK131" s="49"/>
      <c r="AL131" s="31"/>
      <c r="AM131" s="52"/>
      <c r="AN131" s="52"/>
      <c r="AO131" s="72"/>
      <c r="AP131" s="74"/>
      <c r="AQ131" s="76"/>
      <c r="AR131" s="76"/>
      <c r="AS131" s="74"/>
      <c r="AT131" s="74"/>
      <c r="AU131" s="73"/>
      <c r="AV131" s="73"/>
      <c r="AW131" s="73"/>
      <c r="AX131" s="73"/>
      <c r="AY131" s="109">
        <f t="shared" si="123"/>
        <v>0</v>
      </c>
      <c r="AZ131" s="109">
        <f t="shared" si="111"/>
        <v>0</v>
      </c>
      <c r="BA131" s="61">
        <v>0</v>
      </c>
      <c r="BB131" s="61">
        <f t="shared" ref="BB131" si="209">(AX131+AY131+AZ131)-BA131</f>
        <v>0</v>
      </c>
      <c r="BD131" s="88">
        <v>0</v>
      </c>
      <c r="BE131" s="153">
        <v>140.4</v>
      </c>
      <c r="BF131" s="88">
        <v>0</v>
      </c>
      <c r="BG131" s="88">
        <v>0</v>
      </c>
      <c r="BH131" s="88">
        <v>0</v>
      </c>
      <c r="BI131" s="88">
        <v>0</v>
      </c>
      <c r="BJ131" s="88">
        <v>0</v>
      </c>
      <c r="BK131" s="88">
        <v>0</v>
      </c>
      <c r="BL131" s="88">
        <v>0</v>
      </c>
      <c r="BM131" s="88">
        <v>0</v>
      </c>
      <c r="BN131" s="88">
        <v>0</v>
      </c>
      <c r="BO131" s="88">
        <v>0</v>
      </c>
      <c r="BP131" s="210">
        <v>140.4</v>
      </c>
      <c r="BQ131" s="208">
        <f t="shared" si="112"/>
        <v>0</v>
      </c>
      <c r="BR131" s="175">
        <f t="shared" si="106"/>
        <v>140.4</v>
      </c>
    </row>
    <row r="132" spans="1:70" ht="25.8" thickBot="1" x14ac:dyDescent="0.65">
      <c r="A132" s="64">
        <v>124</v>
      </c>
      <c r="B132" s="166" t="s">
        <v>394</v>
      </c>
      <c r="C132" s="156" t="s">
        <v>171</v>
      </c>
      <c r="D132" s="167">
        <v>45019</v>
      </c>
      <c r="E132" s="160">
        <v>3</v>
      </c>
      <c r="F132" s="160">
        <f t="shared" ref="F132" si="210">+E132*$C$1</f>
        <v>1599.9900000000002</v>
      </c>
      <c r="G132" s="160">
        <f t="shared" ref="G132" si="211">+BR132</f>
        <v>480</v>
      </c>
      <c r="H132" s="161">
        <f t="shared" ref="H132" si="212">+F132+G132</f>
        <v>2079.9900000000002</v>
      </c>
      <c r="I132" s="162">
        <v>13</v>
      </c>
      <c r="J132" s="88">
        <v>13</v>
      </c>
      <c r="L132" s="173">
        <v>46666</v>
      </c>
      <c r="M132" s="164"/>
      <c r="N132" s="165" t="str">
        <f t="shared" ca="1" si="207"/>
        <v>O.K.</v>
      </c>
      <c r="W132" s="1" t="s">
        <v>394</v>
      </c>
      <c r="X132" s="51">
        <v>0</v>
      </c>
      <c r="Y132" s="48">
        <v>0</v>
      </c>
      <c r="Z132" s="49">
        <v>0</v>
      </c>
      <c r="AA132" s="49">
        <v>0</v>
      </c>
      <c r="AB132" s="49">
        <v>0</v>
      </c>
      <c r="AC132" s="31">
        <v>0</v>
      </c>
      <c r="AD132" s="28">
        <f t="shared" si="201"/>
        <v>0</v>
      </c>
      <c r="AE132" s="52">
        <v>0</v>
      </c>
      <c r="AF132" s="52">
        <v>0</v>
      </c>
      <c r="AG132" s="49">
        <v>0</v>
      </c>
      <c r="AH132" s="22">
        <f t="shared" si="202"/>
        <v>0</v>
      </c>
      <c r="AI132" s="52">
        <v>0</v>
      </c>
      <c r="AJ132" s="52">
        <v>0</v>
      </c>
      <c r="AK132" s="49">
        <v>0</v>
      </c>
      <c r="AL132" s="31">
        <f t="shared" si="203"/>
        <v>0</v>
      </c>
      <c r="AM132" s="52">
        <v>0</v>
      </c>
      <c r="AN132" s="52">
        <v>0</v>
      </c>
      <c r="AO132" s="72">
        <v>0</v>
      </c>
      <c r="AP132" s="74">
        <f t="shared" si="204"/>
        <v>0</v>
      </c>
      <c r="AQ132" s="76">
        <f t="shared" si="83"/>
        <v>0</v>
      </c>
      <c r="AR132" s="76">
        <f>+(0)+(462)+(0)+(0)+(0)+(0)</f>
        <v>462</v>
      </c>
      <c r="AS132" s="74">
        <v>120</v>
      </c>
      <c r="AT132" s="74">
        <f t="shared" si="205"/>
        <v>342</v>
      </c>
      <c r="AU132" s="73">
        <f>+(0)+(0)+(204)+(78)</f>
        <v>282</v>
      </c>
      <c r="AV132" s="73">
        <f>+(0)+(78)+(96)+(0)+(0)+(0)+(0)+(0)</f>
        <v>174</v>
      </c>
      <c r="AW132" s="73">
        <v>120</v>
      </c>
      <c r="AX132" s="73">
        <f t="shared" si="206"/>
        <v>678</v>
      </c>
      <c r="AY132" s="109">
        <f t="shared" si="123"/>
        <v>0</v>
      </c>
      <c r="AZ132" s="109">
        <f>+(97.2)+(0)+(0)+(0)+(0)+(0)+(0)+(0)</f>
        <v>97.2</v>
      </c>
      <c r="BA132" s="61">
        <v>120</v>
      </c>
      <c r="BB132" s="61">
        <f t="shared" si="186"/>
        <v>655.20000000000005</v>
      </c>
      <c r="BD132" s="88">
        <v>0</v>
      </c>
      <c r="BE132" s="88">
        <v>0</v>
      </c>
      <c r="BF132" s="88">
        <v>0</v>
      </c>
      <c r="BG132" s="88">
        <v>0</v>
      </c>
      <c r="BH132" s="88">
        <v>0</v>
      </c>
      <c r="BI132" s="88">
        <v>0</v>
      </c>
      <c r="BJ132" s="88">
        <v>0</v>
      </c>
      <c r="BK132" s="88">
        <v>0</v>
      </c>
      <c r="BL132" s="88">
        <v>0</v>
      </c>
      <c r="BM132" s="88">
        <v>0</v>
      </c>
      <c r="BN132" s="88">
        <v>0</v>
      </c>
      <c r="BO132" s="88">
        <v>0</v>
      </c>
      <c r="BP132" s="210">
        <v>120</v>
      </c>
      <c r="BQ132" s="208">
        <f t="shared" si="112"/>
        <v>535.20000000000005</v>
      </c>
      <c r="BR132" s="175">
        <f t="shared" ref="BR132:BR200" si="213">SUM(X132:AA132)+AB132+AG132+AK132+AO132+AS132+AW132+BA132+BP132</f>
        <v>480</v>
      </c>
    </row>
    <row r="133" spans="1:70" ht="25.8" thickBot="1" x14ac:dyDescent="0.65">
      <c r="A133" s="64">
        <v>125</v>
      </c>
      <c r="B133" s="166" t="s">
        <v>186</v>
      </c>
      <c r="C133" s="156" t="s">
        <v>23</v>
      </c>
      <c r="D133" s="167">
        <v>42291</v>
      </c>
      <c r="E133" s="168">
        <v>5</v>
      </c>
      <c r="F133" s="160">
        <f>+E133*$C$1</f>
        <v>2666.65</v>
      </c>
      <c r="G133" s="160">
        <f>+BR133</f>
        <v>859.2</v>
      </c>
      <c r="H133" s="161">
        <f>+F133+G133</f>
        <v>3525.8500000000004</v>
      </c>
      <c r="I133" s="162">
        <v>11</v>
      </c>
      <c r="J133" s="88">
        <v>11</v>
      </c>
      <c r="L133" s="169">
        <v>46673</v>
      </c>
      <c r="M133" s="164"/>
      <c r="N133" s="165" t="str">
        <f t="shared" ca="1" si="207"/>
        <v>O.K.</v>
      </c>
      <c r="W133" s="1" t="s">
        <v>186</v>
      </c>
      <c r="X133" s="50">
        <v>0</v>
      </c>
      <c r="Y133" s="48">
        <v>0</v>
      </c>
      <c r="Z133" s="49">
        <v>96</v>
      </c>
      <c r="AA133" s="49">
        <v>120</v>
      </c>
      <c r="AB133" s="49">
        <v>120</v>
      </c>
      <c r="AC133" s="31">
        <v>156</v>
      </c>
      <c r="AD133" s="28">
        <f t="shared" si="201"/>
        <v>36</v>
      </c>
      <c r="AE133" s="52">
        <v>54.6</v>
      </c>
      <c r="AF133" s="52">
        <f>+(0)+(0)+(54.6)+(0)+(0)+(0)</f>
        <v>54.6</v>
      </c>
      <c r="AG133" s="49">
        <v>120</v>
      </c>
      <c r="AH133" s="22">
        <f t="shared" si="202"/>
        <v>25.199999999999989</v>
      </c>
      <c r="AI133" s="52">
        <f t="shared" si="81"/>
        <v>0</v>
      </c>
      <c r="AJ133" s="52">
        <f t="shared" si="81"/>
        <v>0</v>
      </c>
      <c r="AK133" s="49">
        <v>25.2</v>
      </c>
      <c r="AL133" s="31">
        <f t="shared" si="203"/>
        <v>0</v>
      </c>
      <c r="AM133" s="52">
        <f t="shared" si="82"/>
        <v>0</v>
      </c>
      <c r="AN133" s="52">
        <f>+(0)+(0)+(0)+(0)+(0)+(108)</f>
        <v>108</v>
      </c>
      <c r="AO133" s="72">
        <v>108</v>
      </c>
      <c r="AP133" s="74">
        <f t="shared" si="204"/>
        <v>0</v>
      </c>
      <c r="AQ133" s="76">
        <f t="shared" si="83"/>
        <v>0</v>
      </c>
      <c r="AR133" s="76">
        <f>+(0)+(192)+(0)+(0)+(0)+(0)</f>
        <v>192</v>
      </c>
      <c r="AS133" s="74">
        <v>120</v>
      </c>
      <c r="AT133" s="74">
        <f t="shared" si="205"/>
        <v>72</v>
      </c>
      <c r="AU133" s="73">
        <f>+(0)+(0)+(0)+(78)</f>
        <v>78</v>
      </c>
      <c r="AV133" s="73">
        <f t="shared" si="110"/>
        <v>0</v>
      </c>
      <c r="AW133" s="73">
        <v>120</v>
      </c>
      <c r="AX133" s="73">
        <f t="shared" si="206"/>
        <v>30</v>
      </c>
      <c r="AY133" s="109">
        <f t="shared" si="123"/>
        <v>0</v>
      </c>
      <c r="AZ133" s="109">
        <f t="shared" si="111"/>
        <v>0</v>
      </c>
      <c r="BA133" s="61">
        <v>30</v>
      </c>
      <c r="BB133" s="61">
        <f t="shared" si="186"/>
        <v>0</v>
      </c>
      <c r="BD133" s="88">
        <v>0</v>
      </c>
      <c r="BE133" s="88">
        <v>0</v>
      </c>
      <c r="BF133" s="88">
        <v>0</v>
      </c>
      <c r="BG133" s="88">
        <v>0</v>
      </c>
      <c r="BH133" s="88">
        <v>0</v>
      </c>
      <c r="BI133" s="88">
        <v>0</v>
      </c>
      <c r="BJ133" s="88">
        <v>0</v>
      </c>
      <c r="BK133" s="88">
        <v>0</v>
      </c>
      <c r="BL133" s="88">
        <v>0</v>
      </c>
      <c r="BM133" s="88">
        <v>0</v>
      </c>
      <c r="BN133" s="88">
        <v>0</v>
      </c>
      <c r="BO133" s="88">
        <v>0</v>
      </c>
      <c r="BP133" s="210">
        <v>0</v>
      </c>
      <c r="BQ133" s="208">
        <f t="shared" ref="BQ133:BQ201" si="214">+BB133+SUM(BD133:BG133)+SUM(BH133:BO133)-BP133</f>
        <v>0</v>
      </c>
      <c r="BR133" s="175">
        <f t="shared" si="213"/>
        <v>859.2</v>
      </c>
    </row>
    <row r="134" spans="1:70" ht="25.8" thickBot="1" x14ac:dyDescent="0.65">
      <c r="A134" s="64">
        <v>126</v>
      </c>
      <c r="B134" s="112" t="s">
        <v>325</v>
      </c>
      <c r="C134" s="113" t="s">
        <v>20</v>
      </c>
      <c r="D134" s="114">
        <v>44197</v>
      </c>
      <c r="E134" s="115">
        <v>2</v>
      </c>
      <c r="F134" s="116">
        <f>+E134*$C$1</f>
        <v>1066.6600000000001</v>
      </c>
      <c r="G134" s="116">
        <f>+BR134</f>
        <v>900</v>
      </c>
      <c r="H134" s="117">
        <f>+F134+G134</f>
        <v>1966.66</v>
      </c>
      <c r="I134" s="118">
        <v>13</v>
      </c>
      <c r="J134" s="88">
        <v>13</v>
      </c>
      <c r="L134" s="122">
        <v>46104</v>
      </c>
      <c r="M134" s="120"/>
      <c r="N134" s="121" t="str">
        <f t="shared" ca="1" si="207"/>
        <v>O.K.</v>
      </c>
      <c r="W134" s="1" t="s">
        <v>325</v>
      </c>
      <c r="X134" s="50">
        <v>0</v>
      </c>
      <c r="Y134" s="48">
        <v>0</v>
      </c>
      <c r="Z134" s="49">
        <v>0</v>
      </c>
      <c r="AA134" s="49">
        <v>0</v>
      </c>
      <c r="AB134" s="49">
        <v>0</v>
      </c>
      <c r="AC134" s="31">
        <v>0</v>
      </c>
      <c r="AD134" s="28">
        <f t="shared" si="201"/>
        <v>0</v>
      </c>
      <c r="AE134" s="52">
        <v>0</v>
      </c>
      <c r="AF134" s="52">
        <v>0</v>
      </c>
      <c r="AG134" s="49">
        <v>0</v>
      </c>
      <c r="AH134" s="22">
        <f t="shared" si="202"/>
        <v>0</v>
      </c>
      <c r="AI134" s="52">
        <f t="shared" si="81"/>
        <v>0</v>
      </c>
      <c r="AJ134" s="52">
        <f>+(0)+(513)+(0)+(0)+(0)+(0)</f>
        <v>513</v>
      </c>
      <c r="AK134" s="49">
        <v>150</v>
      </c>
      <c r="AL134" s="31">
        <f t="shared" si="203"/>
        <v>363</v>
      </c>
      <c r="AM134" s="52">
        <f>+(0)+(0)+(0)+(78)+(0)+(0)</f>
        <v>78</v>
      </c>
      <c r="AN134" s="52">
        <f>+(0)+(54)+(0)+(0)+(0)+(96)</f>
        <v>150</v>
      </c>
      <c r="AO134" s="72">
        <v>150</v>
      </c>
      <c r="AP134" s="74">
        <f t="shared" si="204"/>
        <v>441</v>
      </c>
      <c r="AQ134" s="76">
        <f>+(0)+(0)+(0)+(0)+(84)+(0)</f>
        <v>84</v>
      </c>
      <c r="AR134" s="76">
        <f t="shared" si="83"/>
        <v>0</v>
      </c>
      <c r="AS134" s="74">
        <v>150</v>
      </c>
      <c r="AT134" s="74">
        <f t="shared" si="205"/>
        <v>375</v>
      </c>
      <c r="AU134" s="73">
        <f>+(120)+(0)+(0)+(270)</f>
        <v>390</v>
      </c>
      <c r="AV134" s="73">
        <f>+(0)+(0)+(0)+(0)+(30)+(120)+(139.2)+(0)</f>
        <v>289.2</v>
      </c>
      <c r="AW134" s="73">
        <v>150</v>
      </c>
      <c r="AX134" s="73">
        <f t="shared" si="206"/>
        <v>904.2</v>
      </c>
      <c r="AY134" s="109">
        <f>+(78)+(0)+(0)+(0)</f>
        <v>78</v>
      </c>
      <c r="AZ134" s="109">
        <f>+(0)+(54)+(96)+(0)+(30)+(0)+(0)+(0)</f>
        <v>180</v>
      </c>
      <c r="BA134" s="61">
        <v>150</v>
      </c>
      <c r="BB134" s="61">
        <f t="shared" si="186"/>
        <v>1012.2</v>
      </c>
      <c r="BD134" s="88">
        <v>0</v>
      </c>
      <c r="BE134" s="153">
        <v>75.599999999999994</v>
      </c>
      <c r="BF134" s="88">
        <v>0</v>
      </c>
      <c r="BG134" s="88">
        <v>0</v>
      </c>
      <c r="BH134" s="88">
        <v>0</v>
      </c>
      <c r="BI134" s="88">
        <v>0</v>
      </c>
      <c r="BJ134" s="88">
        <v>0</v>
      </c>
      <c r="BK134" s="88">
        <v>0</v>
      </c>
      <c r="BL134" s="88">
        <v>0</v>
      </c>
      <c r="BM134" s="88">
        <v>0</v>
      </c>
      <c r="BN134" s="88">
        <v>0</v>
      </c>
      <c r="BO134" s="88">
        <v>0</v>
      </c>
      <c r="BP134" s="210">
        <v>150</v>
      </c>
      <c r="BQ134" s="208">
        <f t="shared" si="214"/>
        <v>937.8</v>
      </c>
      <c r="BR134" s="175">
        <f t="shared" si="213"/>
        <v>900</v>
      </c>
    </row>
    <row r="135" spans="1:70" ht="25.8" thickBot="1" x14ac:dyDescent="0.65">
      <c r="A135" s="64">
        <v>127</v>
      </c>
      <c r="B135" s="90" t="s">
        <v>77</v>
      </c>
      <c r="C135" s="91" t="s">
        <v>23</v>
      </c>
      <c r="D135" s="102" t="s">
        <v>151</v>
      </c>
      <c r="E135" s="92">
        <v>15</v>
      </c>
      <c r="F135" s="93">
        <f>+E135*$C$1</f>
        <v>7999.9500000000007</v>
      </c>
      <c r="G135" s="93">
        <f>+BR135</f>
        <v>2215</v>
      </c>
      <c r="H135" s="94">
        <f>+F135+G135</f>
        <v>10214.950000000001</v>
      </c>
      <c r="I135" s="95">
        <v>2</v>
      </c>
      <c r="J135" s="88">
        <v>2</v>
      </c>
      <c r="L135" s="100"/>
      <c r="M135" s="96"/>
      <c r="N135" s="97" t="s">
        <v>25</v>
      </c>
      <c r="W135" s="1" t="s">
        <v>77</v>
      </c>
      <c r="X135" s="50">
        <v>943</v>
      </c>
      <c r="Y135" s="48">
        <v>96</v>
      </c>
      <c r="Z135" s="49">
        <v>96</v>
      </c>
      <c r="AA135" s="49">
        <v>120</v>
      </c>
      <c r="AB135" s="49">
        <v>120</v>
      </c>
      <c r="AC135" s="31">
        <v>132.6</v>
      </c>
      <c r="AD135" s="28">
        <f t="shared" si="201"/>
        <v>12.599999999999994</v>
      </c>
      <c r="AE135" s="52">
        <v>54.6</v>
      </c>
      <c r="AF135" s="52">
        <f>+(0)+(0)+(0)+(0)+(0)+(54)</f>
        <v>54</v>
      </c>
      <c r="AG135" s="49">
        <v>120</v>
      </c>
      <c r="AH135" s="22">
        <f t="shared" si="202"/>
        <v>1.1999999999999886</v>
      </c>
      <c r="AI135" s="52">
        <f t="shared" si="81"/>
        <v>0</v>
      </c>
      <c r="AJ135" s="52">
        <f>+(0)+(372)+(0)+(0)+(0)+(21)</f>
        <v>393</v>
      </c>
      <c r="AK135" s="49">
        <v>120</v>
      </c>
      <c r="AL135" s="70">
        <f t="shared" si="203"/>
        <v>274.2</v>
      </c>
      <c r="AM135" s="52">
        <f>+(0)+(0)+(0)+(0)+(0)+(129.6)</f>
        <v>129.6</v>
      </c>
      <c r="AN135" s="52">
        <f>+(0)+(276)+(21)+(0)+(51)+(0)</f>
        <v>348</v>
      </c>
      <c r="AO135" s="72">
        <v>120</v>
      </c>
      <c r="AP135" s="74">
        <f t="shared" si="204"/>
        <v>631.79999999999995</v>
      </c>
      <c r="AQ135" s="76">
        <f>+(0)+(0)+(0)+(0)+(54)+(0)</f>
        <v>54</v>
      </c>
      <c r="AR135" s="76">
        <f t="shared" si="83"/>
        <v>0</v>
      </c>
      <c r="AS135" s="74">
        <v>120</v>
      </c>
      <c r="AT135" s="74">
        <f t="shared" si="205"/>
        <v>565.79999999999995</v>
      </c>
      <c r="AU135" s="73">
        <f t="shared" si="104"/>
        <v>0</v>
      </c>
      <c r="AV135" s="73">
        <f t="shared" si="110"/>
        <v>0</v>
      </c>
      <c r="AW135" s="73">
        <v>120</v>
      </c>
      <c r="AX135" s="73">
        <f t="shared" ref="AX135:AX144" si="215">+AT135+AU135+AV135-AW135</f>
        <v>445.79999999999995</v>
      </c>
      <c r="AY135" s="109">
        <f t="shared" si="123"/>
        <v>0</v>
      </c>
      <c r="AZ135" s="109">
        <f>+(0)+(0)+(0)+(0)+(78)+(78)+(0)+(156)</f>
        <v>312</v>
      </c>
      <c r="BA135" s="61">
        <v>120</v>
      </c>
      <c r="BB135" s="61">
        <f t="shared" si="186"/>
        <v>637.79999999999995</v>
      </c>
      <c r="BD135" s="88">
        <v>0</v>
      </c>
      <c r="BE135" s="88">
        <v>0</v>
      </c>
      <c r="BF135" s="88">
        <v>0</v>
      </c>
      <c r="BG135" s="88">
        <v>0</v>
      </c>
      <c r="BH135" s="88">
        <v>0</v>
      </c>
      <c r="BI135" s="88">
        <v>0</v>
      </c>
      <c r="BJ135" s="88">
        <v>0</v>
      </c>
      <c r="BK135" s="88">
        <v>0</v>
      </c>
      <c r="BL135" s="88">
        <v>0</v>
      </c>
      <c r="BM135" s="88">
        <v>0</v>
      </c>
      <c r="BN135" s="88">
        <v>0</v>
      </c>
      <c r="BO135" s="88">
        <v>0</v>
      </c>
      <c r="BP135" s="210">
        <v>120</v>
      </c>
      <c r="BQ135" s="208">
        <f t="shared" si="214"/>
        <v>517.79999999999995</v>
      </c>
      <c r="BR135" s="175">
        <f t="shared" si="213"/>
        <v>2215</v>
      </c>
    </row>
    <row r="136" spans="1:70" ht="25.8" thickBot="1" x14ac:dyDescent="0.65">
      <c r="A136" s="64">
        <v>128</v>
      </c>
      <c r="B136" s="112" t="s">
        <v>368</v>
      </c>
      <c r="C136" s="113" t="s">
        <v>21</v>
      </c>
      <c r="D136" s="123">
        <v>44761</v>
      </c>
      <c r="E136" s="115">
        <v>1</v>
      </c>
      <c r="F136" s="116">
        <f t="shared" ref="F136" si="216">+E136*$C$1</f>
        <v>533.33000000000004</v>
      </c>
      <c r="G136" s="116">
        <f t="shared" ref="G136" si="217">+BR136</f>
        <v>531</v>
      </c>
      <c r="H136" s="117">
        <f t="shared" ref="H136" si="218">+F136+G136</f>
        <v>1064.33</v>
      </c>
      <c r="I136" s="118">
        <v>14</v>
      </c>
      <c r="J136" s="88">
        <v>14</v>
      </c>
      <c r="L136" s="122">
        <v>46222</v>
      </c>
      <c r="M136" s="120"/>
      <c r="N136" s="121" t="str">
        <f t="shared" ref="N136:N157" ca="1" si="219">IF($B$2&lt;L136,"O.K.","A L E R T A ")</f>
        <v>O.K.</v>
      </c>
      <c r="W136" s="1" t="s">
        <v>368</v>
      </c>
      <c r="X136" s="50">
        <v>0</v>
      </c>
      <c r="Y136" s="48">
        <v>0</v>
      </c>
      <c r="Z136" s="49">
        <v>0</v>
      </c>
      <c r="AA136" s="49">
        <v>0</v>
      </c>
      <c r="AB136" s="49">
        <v>0</v>
      </c>
      <c r="AC136" s="31">
        <v>0</v>
      </c>
      <c r="AD136" s="28">
        <f t="shared" si="201"/>
        <v>0</v>
      </c>
      <c r="AE136" s="52">
        <v>0</v>
      </c>
      <c r="AF136" s="52">
        <v>0</v>
      </c>
      <c r="AG136" s="49">
        <v>0</v>
      </c>
      <c r="AH136" s="22">
        <f t="shared" si="202"/>
        <v>0</v>
      </c>
      <c r="AI136" s="52">
        <v>0</v>
      </c>
      <c r="AJ136" s="52">
        <v>0</v>
      </c>
      <c r="AK136" s="49">
        <v>0</v>
      </c>
      <c r="AL136" s="70">
        <f t="shared" si="203"/>
        <v>0</v>
      </c>
      <c r="AM136" s="52">
        <f t="shared" si="82"/>
        <v>0</v>
      </c>
      <c r="AN136" s="52">
        <f t="shared" si="82"/>
        <v>0</v>
      </c>
      <c r="AO136" s="72">
        <v>0</v>
      </c>
      <c r="AP136" s="74">
        <f t="shared" si="204"/>
        <v>0</v>
      </c>
      <c r="AQ136" s="76">
        <f>+(108)+(0)+(0)+(0)+(54)+(0)</f>
        <v>162</v>
      </c>
      <c r="AR136" s="76">
        <f t="shared" si="83"/>
        <v>0</v>
      </c>
      <c r="AS136" s="74">
        <v>150</v>
      </c>
      <c r="AT136" s="74">
        <f t="shared" si="205"/>
        <v>12</v>
      </c>
      <c r="AU136" s="73">
        <f>+(0)+(0)+(0)+(69)</f>
        <v>69</v>
      </c>
      <c r="AV136" s="73">
        <f t="shared" si="110"/>
        <v>0</v>
      </c>
      <c r="AW136" s="73">
        <v>81</v>
      </c>
      <c r="AX136" s="73">
        <f t="shared" si="215"/>
        <v>0</v>
      </c>
      <c r="AY136" s="109">
        <f t="shared" si="123"/>
        <v>0</v>
      </c>
      <c r="AZ136" s="109">
        <f>+(0)+(0)+(0)+(0)+(78)+(108)+(0)+(162.6)</f>
        <v>348.6</v>
      </c>
      <c r="BA136" s="61">
        <v>150</v>
      </c>
      <c r="BB136" s="61">
        <f t="shared" si="186"/>
        <v>198.60000000000002</v>
      </c>
      <c r="BD136" s="88">
        <v>0</v>
      </c>
      <c r="BE136" s="153">
        <v>31.2</v>
      </c>
      <c r="BF136" s="88">
        <v>0</v>
      </c>
      <c r="BG136" s="88">
        <v>0</v>
      </c>
      <c r="BH136" s="88">
        <v>0</v>
      </c>
      <c r="BI136" s="88">
        <v>0</v>
      </c>
      <c r="BJ136" s="88">
        <v>0</v>
      </c>
      <c r="BK136" s="88">
        <v>0</v>
      </c>
      <c r="BL136" s="88">
        <v>0</v>
      </c>
      <c r="BM136" s="88">
        <v>0</v>
      </c>
      <c r="BN136" s="88">
        <v>0</v>
      </c>
      <c r="BO136" s="88">
        <v>0</v>
      </c>
      <c r="BP136" s="210">
        <v>150</v>
      </c>
      <c r="BQ136" s="208">
        <f t="shared" si="214"/>
        <v>79.800000000000011</v>
      </c>
      <c r="BR136" s="175">
        <f t="shared" si="213"/>
        <v>531</v>
      </c>
    </row>
    <row r="137" spans="1:70" ht="25.8" thickBot="1" x14ac:dyDescent="0.65">
      <c r="A137" s="64">
        <v>129</v>
      </c>
      <c r="B137" s="166" t="s">
        <v>362</v>
      </c>
      <c r="C137" s="156" t="s">
        <v>19</v>
      </c>
      <c r="D137" s="170">
        <v>44293</v>
      </c>
      <c r="E137" s="168">
        <v>2</v>
      </c>
      <c r="F137" s="160">
        <f>+E137*$C$1</f>
        <v>1066.6600000000001</v>
      </c>
      <c r="G137" s="160">
        <f>+BR137</f>
        <v>600</v>
      </c>
      <c r="H137" s="161">
        <f>+F137+G137</f>
        <v>1666.66</v>
      </c>
      <c r="I137" s="162">
        <v>13</v>
      </c>
      <c r="J137" s="88">
        <v>13</v>
      </c>
      <c r="L137" s="169">
        <v>46484</v>
      </c>
      <c r="M137" s="164"/>
      <c r="N137" s="165" t="str">
        <f t="shared" ca="1" si="219"/>
        <v>O.K.</v>
      </c>
      <c r="W137" s="1" t="s">
        <v>362</v>
      </c>
      <c r="X137" s="50">
        <v>0</v>
      </c>
      <c r="Y137" s="48">
        <v>0</v>
      </c>
      <c r="Z137" s="49">
        <v>0</v>
      </c>
      <c r="AA137" s="49">
        <v>0</v>
      </c>
      <c r="AB137" s="49">
        <v>0</v>
      </c>
      <c r="AC137" s="31">
        <v>0</v>
      </c>
      <c r="AD137" s="28">
        <f t="shared" si="201"/>
        <v>0</v>
      </c>
      <c r="AE137" s="52">
        <v>0</v>
      </c>
      <c r="AF137" s="52">
        <v>0</v>
      </c>
      <c r="AG137" s="49">
        <v>0</v>
      </c>
      <c r="AH137" s="22">
        <v>0</v>
      </c>
      <c r="AI137" s="52">
        <v>0</v>
      </c>
      <c r="AJ137" s="52">
        <v>0</v>
      </c>
      <c r="AK137" s="49">
        <v>0</v>
      </c>
      <c r="AL137" s="70">
        <f t="shared" si="203"/>
        <v>0</v>
      </c>
      <c r="AM137" s="52">
        <f t="shared" si="82"/>
        <v>0</v>
      </c>
      <c r="AN137" s="52">
        <f>+(0)+(0)+(0)+(0)+(171.6)+(0)</f>
        <v>171.6</v>
      </c>
      <c r="AO137" s="72">
        <v>120</v>
      </c>
      <c r="AP137" s="74">
        <f t="shared" si="204"/>
        <v>51.599999999999994</v>
      </c>
      <c r="AQ137" s="76">
        <f t="shared" si="83"/>
        <v>0</v>
      </c>
      <c r="AR137" s="76">
        <f>+(0)+(228)+(0)+(0)+(0)+(0)</f>
        <v>228</v>
      </c>
      <c r="AS137" s="74">
        <v>120</v>
      </c>
      <c r="AT137" s="74">
        <f t="shared" si="205"/>
        <v>159.60000000000002</v>
      </c>
      <c r="AU137" s="73">
        <f>+(0)+(0)+(192)+(90)</f>
        <v>282</v>
      </c>
      <c r="AV137" s="73">
        <f>+(216)+(0)+(96)+(0)+(0)+(0)+(78)+(0)</f>
        <v>390</v>
      </c>
      <c r="AW137" s="73">
        <v>120</v>
      </c>
      <c r="AX137" s="73">
        <f t="shared" si="215"/>
        <v>711.6</v>
      </c>
      <c r="AY137" s="109">
        <f>+(0)+(30)+(0)+(54)</f>
        <v>84</v>
      </c>
      <c r="AZ137" s="109">
        <f t="shared" si="111"/>
        <v>0</v>
      </c>
      <c r="BA137" s="61">
        <v>120</v>
      </c>
      <c r="BB137" s="61">
        <f t="shared" si="186"/>
        <v>675.6</v>
      </c>
      <c r="BD137" s="88">
        <v>0</v>
      </c>
      <c r="BE137" s="88">
        <v>0</v>
      </c>
      <c r="BF137" s="88">
        <v>0</v>
      </c>
      <c r="BG137" s="88">
        <v>0</v>
      </c>
      <c r="BH137" s="88">
        <v>0</v>
      </c>
      <c r="BI137" s="88">
        <v>0</v>
      </c>
      <c r="BJ137" s="88">
        <v>0</v>
      </c>
      <c r="BK137" s="88">
        <v>0</v>
      </c>
      <c r="BL137" s="88">
        <v>0</v>
      </c>
      <c r="BM137" s="88">
        <v>0</v>
      </c>
      <c r="BN137" s="88">
        <v>0</v>
      </c>
      <c r="BO137" s="88">
        <v>0</v>
      </c>
      <c r="BP137" s="210">
        <v>120</v>
      </c>
      <c r="BQ137" s="208">
        <f t="shared" si="214"/>
        <v>555.6</v>
      </c>
      <c r="BR137" s="175">
        <f t="shared" si="213"/>
        <v>600</v>
      </c>
    </row>
    <row r="138" spans="1:70" ht="25.8" thickBot="1" x14ac:dyDescent="0.65">
      <c r="A138" s="64">
        <v>130</v>
      </c>
      <c r="B138" s="112" t="s">
        <v>395</v>
      </c>
      <c r="C138" s="113" t="s">
        <v>21</v>
      </c>
      <c r="D138" s="123">
        <v>45019</v>
      </c>
      <c r="E138" s="115">
        <v>2</v>
      </c>
      <c r="F138" s="116">
        <f t="shared" ref="F138" si="220">+E138*$C$1</f>
        <v>1066.6600000000001</v>
      </c>
      <c r="G138" s="116">
        <f t="shared" ref="G138" si="221">+BR138</f>
        <v>596.4</v>
      </c>
      <c r="H138" s="117">
        <f t="shared" ref="H138" si="222">+F138+G138</f>
        <v>1663.06</v>
      </c>
      <c r="I138" s="118">
        <v>14</v>
      </c>
      <c r="J138" s="88">
        <v>14</v>
      </c>
      <c r="L138" s="122">
        <v>46235</v>
      </c>
      <c r="M138" s="120"/>
      <c r="N138" s="121" t="str">
        <f t="shared" ca="1" si="219"/>
        <v>O.K.</v>
      </c>
      <c r="W138" s="1" t="s">
        <v>395</v>
      </c>
      <c r="X138" s="50">
        <v>0</v>
      </c>
      <c r="Y138" s="48">
        <v>0</v>
      </c>
      <c r="Z138" s="49">
        <v>0</v>
      </c>
      <c r="AA138" s="49">
        <v>0</v>
      </c>
      <c r="AB138" s="49">
        <v>0</v>
      </c>
      <c r="AC138" s="31">
        <v>0</v>
      </c>
      <c r="AD138" s="28">
        <f t="shared" si="201"/>
        <v>0</v>
      </c>
      <c r="AE138" s="52">
        <v>0</v>
      </c>
      <c r="AF138" s="52">
        <v>0</v>
      </c>
      <c r="AG138" s="49">
        <v>0</v>
      </c>
      <c r="AH138" s="22">
        <v>0</v>
      </c>
      <c r="AI138" s="52">
        <v>0</v>
      </c>
      <c r="AJ138" s="52">
        <v>0</v>
      </c>
      <c r="AK138" s="49">
        <v>0</v>
      </c>
      <c r="AL138" s="70">
        <f t="shared" si="203"/>
        <v>0</v>
      </c>
      <c r="AM138" s="52">
        <v>0</v>
      </c>
      <c r="AN138" s="52">
        <v>0</v>
      </c>
      <c r="AO138" s="72">
        <v>0</v>
      </c>
      <c r="AP138" s="74">
        <f t="shared" si="204"/>
        <v>0</v>
      </c>
      <c r="AQ138" s="76">
        <f>+(0)+(0)+(0)+(0)+(54)+(0)</f>
        <v>54</v>
      </c>
      <c r="AR138" s="76">
        <f>+(0)+(92.4)+(0)+(0)+(0)+(0)</f>
        <v>92.4</v>
      </c>
      <c r="AS138" s="74">
        <v>146.4</v>
      </c>
      <c r="AT138" s="74">
        <f t="shared" si="205"/>
        <v>0</v>
      </c>
      <c r="AU138" s="73">
        <f>+(0)+(0)+(204)+(96)</f>
        <v>300</v>
      </c>
      <c r="AV138" s="73">
        <f>+(0)+(0)+(96)+(0)+(0)+(0)+(0)+(0)</f>
        <v>96</v>
      </c>
      <c r="AW138" s="73">
        <v>150</v>
      </c>
      <c r="AX138" s="73">
        <f t="shared" si="215"/>
        <v>246</v>
      </c>
      <c r="AY138" s="109">
        <f>+(0)+(0)+(0)+(186)</f>
        <v>186</v>
      </c>
      <c r="AZ138" s="109">
        <f>+(108)+(0)+(0)+(0)+(0)+(0)+(0)+(0)</f>
        <v>108</v>
      </c>
      <c r="BA138" s="61">
        <v>150</v>
      </c>
      <c r="BB138" s="61">
        <f t="shared" si="186"/>
        <v>390</v>
      </c>
      <c r="BD138" s="88">
        <v>0</v>
      </c>
      <c r="BE138" s="88">
        <v>0</v>
      </c>
      <c r="BF138" s="88">
        <v>0</v>
      </c>
      <c r="BG138" s="88">
        <v>0</v>
      </c>
      <c r="BH138" s="88">
        <v>0</v>
      </c>
      <c r="BI138" s="88">
        <v>0</v>
      </c>
      <c r="BJ138" s="88">
        <v>0</v>
      </c>
      <c r="BK138" s="88">
        <v>0</v>
      </c>
      <c r="BL138" s="88">
        <v>0</v>
      </c>
      <c r="BM138" s="88">
        <v>0</v>
      </c>
      <c r="BN138" s="88">
        <v>0</v>
      </c>
      <c r="BO138" s="88">
        <v>0</v>
      </c>
      <c r="BP138" s="210">
        <v>150</v>
      </c>
      <c r="BQ138" s="208">
        <f t="shared" si="214"/>
        <v>240</v>
      </c>
      <c r="BR138" s="175">
        <f t="shared" si="213"/>
        <v>596.4</v>
      </c>
    </row>
    <row r="139" spans="1:70" ht="25.8" thickBot="1" x14ac:dyDescent="0.65">
      <c r="A139" s="64">
        <v>131</v>
      </c>
      <c r="B139" s="112" t="s">
        <v>458</v>
      </c>
      <c r="C139" s="113" t="s">
        <v>21</v>
      </c>
      <c r="D139" s="124" t="s">
        <v>119</v>
      </c>
      <c r="E139" s="115">
        <v>5</v>
      </c>
      <c r="F139" s="116">
        <f>+E139*$C$1</f>
        <v>2666.65</v>
      </c>
      <c r="G139" s="116">
        <f>+BR139</f>
        <v>1692</v>
      </c>
      <c r="H139" s="117">
        <f>+F139+G139</f>
        <v>4358.6499999999996</v>
      </c>
      <c r="I139" s="118">
        <v>10</v>
      </c>
      <c r="J139" s="88">
        <v>10</v>
      </c>
      <c r="L139" s="119">
        <v>46183</v>
      </c>
      <c r="M139" s="120"/>
      <c r="N139" s="121" t="str">
        <f t="shared" ca="1" si="219"/>
        <v>O.K.</v>
      </c>
      <c r="W139" s="1" t="str">
        <f>+B139</f>
        <v>NORDENFLICHT GALLLARDO NATALIA</v>
      </c>
      <c r="X139" s="50">
        <v>150</v>
      </c>
      <c r="Y139" s="48">
        <v>96</v>
      </c>
      <c r="Z139" s="49">
        <v>96</v>
      </c>
      <c r="AA139" s="49">
        <v>150</v>
      </c>
      <c r="AB139" s="49">
        <v>150</v>
      </c>
      <c r="AC139" s="31">
        <v>408</v>
      </c>
      <c r="AD139" s="28">
        <f>+AC139-AB139</f>
        <v>258</v>
      </c>
      <c r="AE139" s="52">
        <v>108</v>
      </c>
      <c r="AF139" s="52">
        <f>+(78)+(78)+(0)+(0)+(54)+(138)</f>
        <v>348</v>
      </c>
      <c r="AG139" s="49">
        <v>150</v>
      </c>
      <c r="AH139" s="22">
        <f>+AD139+(AE139+AF139)-AG139</f>
        <v>564</v>
      </c>
      <c r="AI139" s="52">
        <f>+(0)+(0)+(210)+(0)+(186)+(0)</f>
        <v>396</v>
      </c>
      <c r="AJ139" s="52">
        <f>+(78)+(108)+(0)+(0)+(78)+(54)</f>
        <v>318</v>
      </c>
      <c r="AK139" s="49">
        <v>150</v>
      </c>
      <c r="AL139" s="31">
        <f>+AH139+AI139+AJ139-AK139</f>
        <v>1128</v>
      </c>
      <c r="AM139" s="52">
        <f t="shared" si="48"/>
        <v>0</v>
      </c>
      <c r="AN139" s="52">
        <f>+(0)+(0)+(0)+(0)+(90)+(30)</f>
        <v>120</v>
      </c>
      <c r="AO139" s="72">
        <v>150</v>
      </c>
      <c r="AP139" s="74">
        <f>+AL139+AM139+AN139-AO139</f>
        <v>1098</v>
      </c>
      <c r="AQ139" s="76">
        <f>+(0)+(0)+(0)+(0)+(54)+(30)</f>
        <v>84</v>
      </c>
      <c r="AR139" s="76">
        <f t="shared" si="49"/>
        <v>0</v>
      </c>
      <c r="AS139" s="74">
        <v>150</v>
      </c>
      <c r="AT139" s="74">
        <f>+AP139+AQ139+AR139-AS139</f>
        <v>1032</v>
      </c>
      <c r="AU139" s="73">
        <f t="shared" si="44"/>
        <v>0</v>
      </c>
      <c r="AV139" s="73">
        <f>+(120)+(0)+(96)+(0)+(0)+(0)+(30)+(0)</f>
        <v>246</v>
      </c>
      <c r="AW139" s="73">
        <v>150</v>
      </c>
      <c r="AX139" s="73">
        <f>+AT139+AU139+AV139-AW139</f>
        <v>1128</v>
      </c>
      <c r="AY139" s="109">
        <f>+(0)+(0)+(0)+(78)</f>
        <v>78</v>
      </c>
      <c r="AZ139" s="109">
        <f>+(0)+(0)+(0)+(120)+(60)+(0)+(0)+(156)</f>
        <v>336</v>
      </c>
      <c r="BA139" s="61">
        <v>150</v>
      </c>
      <c r="BB139" s="61">
        <f t="shared" ref="BB139:BB153" si="223">(AX139+AY139+AZ139)-BA139</f>
        <v>1392</v>
      </c>
      <c r="BD139" s="153">
        <v>30</v>
      </c>
      <c r="BE139" s="153">
        <v>54</v>
      </c>
      <c r="BF139" s="88">
        <v>0</v>
      </c>
      <c r="BG139" s="88">
        <v>0</v>
      </c>
      <c r="BH139" s="88">
        <v>0</v>
      </c>
      <c r="BI139" s="88">
        <v>0</v>
      </c>
      <c r="BJ139" s="88">
        <v>0</v>
      </c>
      <c r="BK139" s="88">
        <v>0</v>
      </c>
      <c r="BL139" s="88">
        <v>0</v>
      </c>
      <c r="BM139" s="88">
        <v>0</v>
      </c>
      <c r="BN139" s="88">
        <v>0</v>
      </c>
      <c r="BO139" s="88">
        <v>0</v>
      </c>
      <c r="BP139" s="210">
        <v>150</v>
      </c>
      <c r="BQ139" s="208">
        <f t="shared" si="214"/>
        <v>1326</v>
      </c>
      <c r="BR139" s="175">
        <f t="shared" si="213"/>
        <v>1692</v>
      </c>
    </row>
    <row r="140" spans="1:70" ht="25.8" thickBot="1" x14ac:dyDescent="0.65">
      <c r="A140" s="64">
        <v>132</v>
      </c>
      <c r="B140" s="166" t="s">
        <v>477</v>
      </c>
      <c r="C140" s="156" t="s">
        <v>23</v>
      </c>
      <c r="D140" s="170">
        <v>45847</v>
      </c>
      <c r="E140" s="168">
        <v>0</v>
      </c>
      <c r="F140" s="160">
        <f>+E140*$C$1</f>
        <v>0</v>
      </c>
      <c r="G140" s="160">
        <f>+BR140</f>
        <v>0</v>
      </c>
      <c r="H140" s="161">
        <f>+F140+G140</f>
        <v>0</v>
      </c>
      <c r="I140" s="162">
        <v>15</v>
      </c>
      <c r="J140" s="88">
        <v>15</v>
      </c>
      <c r="L140" s="173">
        <v>46577</v>
      </c>
      <c r="M140" s="164"/>
      <c r="N140" s="165" t="str">
        <f t="shared" ca="1" si="219"/>
        <v>O.K.</v>
      </c>
      <c r="W140" s="1" t="s">
        <v>477</v>
      </c>
      <c r="X140" s="50"/>
      <c r="Y140" s="48"/>
      <c r="Z140" s="49"/>
      <c r="AA140" s="49"/>
      <c r="AB140" s="49"/>
      <c r="AC140" s="31"/>
      <c r="AD140" s="28"/>
      <c r="AE140" s="52"/>
      <c r="AF140" s="52"/>
      <c r="AG140" s="49"/>
      <c r="AH140" s="22"/>
      <c r="AI140" s="52"/>
      <c r="AJ140" s="52"/>
      <c r="AK140" s="49"/>
      <c r="AL140" s="31"/>
      <c r="AM140" s="52"/>
      <c r="AN140" s="52"/>
      <c r="AO140" s="72"/>
      <c r="AP140" s="74"/>
      <c r="AQ140" s="76"/>
      <c r="AR140" s="76"/>
      <c r="AS140" s="74"/>
      <c r="AT140" s="74"/>
      <c r="AU140" s="73"/>
      <c r="AV140" s="73"/>
      <c r="AW140" s="73"/>
      <c r="AX140" s="73"/>
      <c r="AY140" s="109">
        <f t="shared" ref="AY140" si="224">+(0)+(0)+(0)+(0)</f>
        <v>0</v>
      </c>
      <c r="AZ140" s="109">
        <f t="shared" ref="AZ140" si="225">+(0)+(0)+(0)+(0)+(0)+(0)+(0)+(0)</f>
        <v>0</v>
      </c>
      <c r="BA140" s="61">
        <v>0</v>
      </c>
      <c r="BB140" s="61">
        <f t="shared" ref="BB140" si="226">(AX140+AY140+AZ140)-BA140</f>
        <v>0</v>
      </c>
      <c r="BD140" s="88">
        <v>0</v>
      </c>
      <c r="BE140" s="88">
        <v>0</v>
      </c>
      <c r="BF140" s="88">
        <v>0</v>
      </c>
      <c r="BG140" s="88">
        <v>0</v>
      </c>
      <c r="BH140" s="88">
        <v>0</v>
      </c>
      <c r="BI140" s="88">
        <v>0</v>
      </c>
      <c r="BJ140" s="88">
        <v>0</v>
      </c>
      <c r="BK140" s="88">
        <v>0</v>
      </c>
      <c r="BL140" s="88">
        <v>0</v>
      </c>
      <c r="BM140" s="88">
        <v>0</v>
      </c>
      <c r="BN140" s="88">
        <v>0</v>
      </c>
      <c r="BO140" s="88">
        <v>0</v>
      </c>
      <c r="BP140" s="210">
        <v>0</v>
      </c>
      <c r="BQ140" s="208">
        <f t="shared" si="214"/>
        <v>0</v>
      </c>
      <c r="BR140" s="175">
        <f t="shared" si="213"/>
        <v>0</v>
      </c>
    </row>
    <row r="141" spans="1:70" ht="25.8" thickBot="1" x14ac:dyDescent="0.65">
      <c r="A141" s="64">
        <v>133</v>
      </c>
      <c r="B141" s="166" t="s">
        <v>520</v>
      </c>
      <c r="C141" s="156" t="s">
        <v>20</v>
      </c>
      <c r="D141" s="170">
        <v>45939</v>
      </c>
      <c r="E141" s="168">
        <v>0</v>
      </c>
      <c r="F141" s="160">
        <f>+E141*$C$1</f>
        <v>0</v>
      </c>
      <c r="G141" s="160">
        <f>+BR141</f>
        <v>0</v>
      </c>
      <c r="H141" s="161">
        <f>+F141+G141</f>
        <v>0</v>
      </c>
      <c r="I141" s="162">
        <v>15</v>
      </c>
      <c r="J141" s="88">
        <v>15</v>
      </c>
      <c r="L141" s="173">
        <v>46669</v>
      </c>
      <c r="M141" s="164"/>
      <c r="N141" s="165" t="str">
        <f t="shared" ca="1" si="219"/>
        <v>O.K.</v>
      </c>
      <c r="W141" s="1" t="s">
        <v>520</v>
      </c>
      <c r="X141" s="50"/>
      <c r="Y141" s="48"/>
      <c r="Z141" s="49"/>
      <c r="AA141" s="49"/>
      <c r="AB141" s="49"/>
      <c r="AC141" s="31"/>
      <c r="AD141" s="28"/>
      <c r="AE141" s="52"/>
      <c r="AF141" s="52"/>
      <c r="AG141" s="49"/>
      <c r="AH141" s="22"/>
      <c r="AI141" s="52"/>
      <c r="AJ141" s="52"/>
      <c r="AK141" s="49"/>
      <c r="AL141" s="31"/>
      <c r="AM141" s="52"/>
      <c r="AN141" s="52"/>
      <c r="AO141" s="72"/>
      <c r="AP141" s="74"/>
      <c r="AQ141" s="76"/>
      <c r="AR141" s="76"/>
      <c r="AS141" s="74"/>
      <c r="AT141" s="74"/>
      <c r="AU141" s="73"/>
      <c r="AV141" s="73"/>
      <c r="AW141" s="73"/>
      <c r="AX141" s="73"/>
      <c r="AY141" s="109"/>
      <c r="AZ141" s="109"/>
      <c r="BA141" s="61"/>
      <c r="BB141" s="61"/>
      <c r="BD141" s="88"/>
      <c r="BE141" s="88">
        <v>0</v>
      </c>
      <c r="BF141" s="88">
        <v>0</v>
      </c>
      <c r="BG141" s="88">
        <v>0</v>
      </c>
      <c r="BH141" s="88">
        <v>0</v>
      </c>
      <c r="BI141" s="88">
        <v>0</v>
      </c>
      <c r="BJ141" s="88">
        <v>0</v>
      </c>
      <c r="BK141" s="88">
        <v>0</v>
      </c>
      <c r="BL141" s="88">
        <v>0</v>
      </c>
      <c r="BM141" s="88">
        <v>0</v>
      </c>
      <c r="BN141" s="88">
        <v>0</v>
      </c>
      <c r="BO141" s="88">
        <v>0</v>
      </c>
      <c r="BP141" s="210">
        <v>0</v>
      </c>
      <c r="BQ141" s="208">
        <f t="shared" ref="BQ141" si="227">+BB141+SUM(BD141:BG141)+SUM(BH141:BO141)-BP141</f>
        <v>0</v>
      </c>
      <c r="BR141" s="175">
        <f t="shared" ref="BR141" si="228">SUM(X141:AA141)+AB141+AG141+AK141+AO141+AS141+AW141+BA141+BP141</f>
        <v>0</v>
      </c>
    </row>
    <row r="142" spans="1:70" ht="25.8" thickBot="1" x14ac:dyDescent="0.65">
      <c r="A142" s="64">
        <v>134</v>
      </c>
      <c r="B142" s="112" t="s">
        <v>407</v>
      </c>
      <c r="C142" s="113" t="s">
        <v>20</v>
      </c>
      <c r="D142" s="123">
        <v>45152</v>
      </c>
      <c r="E142" s="115">
        <v>1</v>
      </c>
      <c r="F142" s="116">
        <f>+E142*$C$1</f>
        <v>533.33000000000004</v>
      </c>
      <c r="G142" s="116">
        <f t="shared" ref="G142" si="229">+BR142</f>
        <v>367.8</v>
      </c>
      <c r="H142" s="117">
        <f t="shared" ref="H142:H143" si="230">+F142+G142</f>
        <v>901.13000000000011</v>
      </c>
      <c r="I142" s="118">
        <v>14</v>
      </c>
      <c r="J142" s="88">
        <v>14</v>
      </c>
      <c r="K142" s="212" t="s">
        <v>315</v>
      </c>
      <c r="L142" s="119">
        <v>46281</v>
      </c>
      <c r="M142" s="120"/>
      <c r="N142" s="121" t="str">
        <f t="shared" ca="1" si="219"/>
        <v>O.K.</v>
      </c>
      <c r="W142" s="1" t="s">
        <v>407</v>
      </c>
      <c r="X142" s="50">
        <v>0</v>
      </c>
      <c r="Y142" s="48">
        <v>0</v>
      </c>
      <c r="Z142" s="49">
        <v>0</v>
      </c>
      <c r="AA142" s="49">
        <v>0</v>
      </c>
      <c r="AB142" s="49">
        <v>0</v>
      </c>
      <c r="AC142" s="31">
        <v>0</v>
      </c>
      <c r="AD142" s="28">
        <f t="shared" ref="AD142:AD157" si="231">+AC142-AB142</f>
        <v>0</v>
      </c>
      <c r="AE142" s="52">
        <v>0</v>
      </c>
      <c r="AF142" s="52">
        <v>0</v>
      </c>
      <c r="AG142" s="49">
        <v>0</v>
      </c>
      <c r="AH142" s="22">
        <f t="shared" ref="AH142:AH157" si="232">+AD142+(AE142+AF142)-AG142</f>
        <v>0</v>
      </c>
      <c r="AI142" s="52">
        <v>0</v>
      </c>
      <c r="AJ142" s="52">
        <v>0</v>
      </c>
      <c r="AK142" s="49">
        <v>0</v>
      </c>
      <c r="AL142" s="69">
        <f t="shared" ref="AL142:AL157" si="233">+AH142+AI142+AJ142-AK142</f>
        <v>0</v>
      </c>
      <c r="AM142" s="52">
        <v>0</v>
      </c>
      <c r="AN142" s="52">
        <v>0</v>
      </c>
      <c r="AO142" s="72">
        <v>0</v>
      </c>
      <c r="AP142" s="74">
        <f t="shared" ref="AP142:AP157" si="234">+AL142+AM142+AN142-AO142</f>
        <v>0</v>
      </c>
      <c r="AQ142" s="76">
        <f t="shared" si="83"/>
        <v>0</v>
      </c>
      <c r="AR142" s="76">
        <f t="shared" si="83"/>
        <v>0</v>
      </c>
      <c r="AS142" s="74">
        <v>0</v>
      </c>
      <c r="AT142" s="74">
        <f>+AP142+AQ142+AR142-AS142</f>
        <v>0</v>
      </c>
      <c r="AU142" s="73">
        <f t="shared" si="104"/>
        <v>0</v>
      </c>
      <c r="AV142" s="73">
        <f>+(0)+(0)+(0)+(0)+(0)+(0)+(229.8)+(0)</f>
        <v>229.8</v>
      </c>
      <c r="AW142" s="73">
        <v>150</v>
      </c>
      <c r="AX142" s="73">
        <f t="shared" si="215"/>
        <v>79.800000000000011</v>
      </c>
      <c r="AY142" s="109">
        <f>+(0)+(0)+(0)+(108)</f>
        <v>108</v>
      </c>
      <c r="AZ142" s="109">
        <f>+(0)+(0)+(0)+(0)+(30)+(0)+(0)+(0)</f>
        <v>30</v>
      </c>
      <c r="BA142" s="61">
        <v>150</v>
      </c>
      <c r="BB142" s="61">
        <f t="shared" si="223"/>
        <v>67.800000000000011</v>
      </c>
      <c r="BD142" s="88">
        <v>0</v>
      </c>
      <c r="BE142" s="88">
        <v>0</v>
      </c>
      <c r="BF142" s="88">
        <v>0</v>
      </c>
      <c r="BG142" s="88">
        <v>0</v>
      </c>
      <c r="BH142" s="88">
        <v>0</v>
      </c>
      <c r="BI142" s="88">
        <v>0</v>
      </c>
      <c r="BJ142" s="88">
        <v>0</v>
      </c>
      <c r="BK142" s="88">
        <v>0</v>
      </c>
      <c r="BL142" s="88">
        <v>0</v>
      </c>
      <c r="BM142" s="88">
        <v>0</v>
      </c>
      <c r="BN142" s="88">
        <v>0</v>
      </c>
      <c r="BO142" s="88">
        <v>0</v>
      </c>
      <c r="BP142" s="210">
        <v>67.8</v>
      </c>
      <c r="BQ142" s="208">
        <f t="shared" si="214"/>
        <v>0</v>
      </c>
      <c r="BR142" s="175">
        <f t="shared" si="213"/>
        <v>367.8</v>
      </c>
    </row>
    <row r="143" spans="1:70" ht="25.8" thickBot="1" x14ac:dyDescent="0.65">
      <c r="A143" s="64">
        <v>135</v>
      </c>
      <c r="B143" s="166" t="s">
        <v>471</v>
      </c>
      <c r="C143" s="156" t="s">
        <v>20</v>
      </c>
      <c r="D143" s="167">
        <v>45211</v>
      </c>
      <c r="E143" s="160">
        <v>1</v>
      </c>
      <c r="F143" s="160">
        <f t="shared" ref="F143" si="235">+E143*$C$1</f>
        <v>533.33000000000004</v>
      </c>
      <c r="G143" s="160">
        <f>+BR143</f>
        <v>811.8</v>
      </c>
      <c r="H143" s="161">
        <f t="shared" si="230"/>
        <v>1345.13</v>
      </c>
      <c r="I143" s="162">
        <v>14</v>
      </c>
      <c r="J143" s="21">
        <v>14</v>
      </c>
      <c r="L143" s="173">
        <v>46672</v>
      </c>
      <c r="M143" s="197"/>
      <c r="N143" s="165" t="str">
        <f t="shared" ca="1" si="219"/>
        <v>O.K.</v>
      </c>
      <c r="W143" s="1" t="s">
        <v>471</v>
      </c>
      <c r="X143" s="125">
        <v>511.8</v>
      </c>
      <c r="Y143" s="48">
        <v>0</v>
      </c>
      <c r="Z143" s="49">
        <v>0</v>
      </c>
      <c r="AA143" s="49">
        <v>0</v>
      </c>
      <c r="AB143" s="49">
        <v>0</v>
      </c>
      <c r="AC143" s="31">
        <v>0</v>
      </c>
      <c r="AD143" s="28">
        <f t="shared" si="231"/>
        <v>0</v>
      </c>
      <c r="AE143" s="52">
        <v>0</v>
      </c>
      <c r="AF143" s="52">
        <v>0</v>
      </c>
      <c r="AG143" s="49">
        <v>0</v>
      </c>
      <c r="AH143" s="22">
        <f t="shared" si="232"/>
        <v>0</v>
      </c>
      <c r="AI143" s="52">
        <v>0</v>
      </c>
      <c r="AJ143" s="52">
        <v>0</v>
      </c>
      <c r="AK143" s="49">
        <v>0</v>
      </c>
      <c r="AL143" s="31">
        <f t="shared" si="233"/>
        <v>0</v>
      </c>
      <c r="AM143" s="52">
        <v>0</v>
      </c>
      <c r="AN143" s="52">
        <v>0</v>
      </c>
      <c r="AO143" s="85">
        <v>0</v>
      </c>
      <c r="AP143" s="174">
        <f t="shared" si="234"/>
        <v>0</v>
      </c>
      <c r="AQ143" s="76">
        <v>0</v>
      </c>
      <c r="AR143" s="76">
        <v>0</v>
      </c>
      <c r="AS143" s="74">
        <v>0</v>
      </c>
      <c r="AT143" s="174">
        <f t="shared" ref="AT143" si="236">+AP143+AQ143+AR143-AS143</f>
        <v>0</v>
      </c>
      <c r="AU143" s="31">
        <f t="shared" si="104"/>
        <v>0</v>
      </c>
      <c r="AV143" s="31">
        <f t="shared" ref="AV143" si="237">+(0)+(0)+(0)+(0)+(0)+(0)+(0)+(0)</f>
        <v>0</v>
      </c>
      <c r="AW143" s="31">
        <v>0</v>
      </c>
      <c r="AX143" s="31">
        <f t="shared" si="215"/>
        <v>0</v>
      </c>
      <c r="AY143" s="109">
        <f>+(0)+(0)+(0)+(0)</f>
        <v>0</v>
      </c>
      <c r="AZ143" s="109">
        <f>+(78)+(30)+(175.2)+(0)+(0)+(0)+(192)+(0)</f>
        <v>475.2</v>
      </c>
      <c r="BA143" s="61">
        <v>150</v>
      </c>
      <c r="BB143" s="61">
        <f t="shared" si="223"/>
        <v>325.2</v>
      </c>
      <c r="BD143" s="88">
        <v>0</v>
      </c>
      <c r="BE143" s="88">
        <v>0</v>
      </c>
      <c r="BF143" s="88">
        <v>0</v>
      </c>
      <c r="BG143" s="88">
        <v>0</v>
      </c>
      <c r="BH143" s="88">
        <v>0</v>
      </c>
      <c r="BI143" s="88">
        <v>0</v>
      </c>
      <c r="BJ143" s="88">
        <v>0</v>
      </c>
      <c r="BK143" s="88">
        <v>0</v>
      </c>
      <c r="BL143" s="88">
        <v>0</v>
      </c>
      <c r="BM143" s="88">
        <v>0</v>
      </c>
      <c r="BN143" s="88">
        <v>0</v>
      </c>
      <c r="BO143" s="88">
        <v>0</v>
      </c>
      <c r="BP143" s="210">
        <v>150</v>
      </c>
      <c r="BQ143" s="208">
        <f t="shared" si="214"/>
        <v>175.2</v>
      </c>
      <c r="BR143" s="175">
        <f t="shared" si="213"/>
        <v>811.8</v>
      </c>
    </row>
    <row r="144" spans="1:70" ht="25.8" thickBot="1" x14ac:dyDescent="0.65">
      <c r="A144" s="64">
        <v>136</v>
      </c>
      <c r="B144" s="112" t="s">
        <v>187</v>
      </c>
      <c r="C144" s="113" t="s">
        <v>19</v>
      </c>
      <c r="D144" s="114">
        <v>42451</v>
      </c>
      <c r="E144" s="115">
        <v>4</v>
      </c>
      <c r="F144" s="116">
        <f>+E144*$C$1</f>
        <v>2133.3200000000002</v>
      </c>
      <c r="G144" s="116">
        <f t="shared" ref="G144:G152" si="238">+BR144</f>
        <v>579</v>
      </c>
      <c r="H144" s="117">
        <f t="shared" ref="H144:H150" si="239">+F144+G144</f>
        <v>2712.32</v>
      </c>
      <c r="I144" s="118">
        <v>12</v>
      </c>
      <c r="J144" s="88">
        <v>12</v>
      </c>
      <c r="L144" s="119">
        <v>46102</v>
      </c>
      <c r="M144" s="120"/>
      <c r="N144" s="121" t="str">
        <f t="shared" ca="1" si="219"/>
        <v>O.K.</v>
      </c>
      <c r="W144" s="1" t="s">
        <v>187</v>
      </c>
      <c r="X144" s="50">
        <v>0</v>
      </c>
      <c r="Y144" s="48">
        <v>96</v>
      </c>
      <c r="Z144" s="49">
        <v>96</v>
      </c>
      <c r="AA144" s="49">
        <v>108.6</v>
      </c>
      <c r="AB144" s="49">
        <v>0</v>
      </c>
      <c r="AC144" s="31">
        <v>0</v>
      </c>
      <c r="AD144" s="28">
        <f t="shared" si="231"/>
        <v>0</v>
      </c>
      <c r="AE144" s="52">
        <v>0</v>
      </c>
      <c r="AF144" s="52">
        <f t="shared" ref="AF144:AF357" si="240">+(0)+(0)+(0)+(0)+(0)+(0)</f>
        <v>0</v>
      </c>
      <c r="AG144" s="49">
        <v>0</v>
      </c>
      <c r="AH144" s="22">
        <f t="shared" si="232"/>
        <v>0</v>
      </c>
      <c r="AI144" s="52">
        <f t="shared" si="81"/>
        <v>0</v>
      </c>
      <c r="AJ144" s="52">
        <f t="shared" si="81"/>
        <v>0</v>
      </c>
      <c r="AK144" s="49">
        <v>0</v>
      </c>
      <c r="AL144" s="31">
        <f t="shared" si="233"/>
        <v>0</v>
      </c>
      <c r="AM144" s="52">
        <f t="shared" si="82"/>
        <v>0</v>
      </c>
      <c r="AN144" s="52">
        <f t="shared" si="82"/>
        <v>0</v>
      </c>
      <c r="AO144" s="72">
        <v>0</v>
      </c>
      <c r="AP144" s="74">
        <f t="shared" si="234"/>
        <v>0</v>
      </c>
      <c r="AQ144" s="76">
        <f t="shared" si="83"/>
        <v>0</v>
      </c>
      <c r="AR144" s="76">
        <f t="shared" si="83"/>
        <v>0</v>
      </c>
      <c r="AS144" s="74">
        <v>0</v>
      </c>
      <c r="AT144" s="74">
        <f>+AP144+AQ144+AR144-AS144</f>
        <v>0</v>
      </c>
      <c r="AU144" s="73">
        <f>+(0)+(0)+(0)+(115.8)</f>
        <v>115.8</v>
      </c>
      <c r="AV144" s="73">
        <f>+(0)+(0)+(0)+(0)+(0)+(132.6)+(0)+(0)</f>
        <v>132.6</v>
      </c>
      <c r="AW144" s="73">
        <v>120</v>
      </c>
      <c r="AX144" s="73">
        <f t="shared" si="215"/>
        <v>128.39999999999998</v>
      </c>
      <c r="AY144" s="109">
        <f t="shared" ref="AY144:AY406" si="241">+(0)+(0)+(0)+(0)</f>
        <v>0</v>
      </c>
      <c r="AZ144" s="109">
        <f>+(0)+(0)+(0)+(0)+(30)+(0)+(0)+(0)</f>
        <v>30</v>
      </c>
      <c r="BA144" s="61">
        <v>120</v>
      </c>
      <c r="BB144" s="61">
        <f t="shared" si="223"/>
        <v>38.399999999999977</v>
      </c>
      <c r="BD144" s="88">
        <v>0</v>
      </c>
      <c r="BE144" s="88">
        <v>0</v>
      </c>
      <c r="BF144" s="88">
        <v>0</v>
      </c>
      <c r="BG144" s="88">
        <v>0</v>
      </c>
      <c r="BH144" s="88">
        <v>0</v>
      </c>
      <c r="BI144" s="88">
        <v>0</v>
      </c>
      <c r="BJ144" s="88">
        <v>0</v>
      </c>
      <c r="BK144" s="88">
        <v>0</v>
      </c>
      <c r="BL144" s="88">
        <v>0</v>
      </c>
      <c r="BM144" s="88">
        <v>0</v>
      </c>
      <c r="BN144" s="88">
        <v>0</v>
      </c>
      <c r="BO144" s="88">
        <v>0</v>
      </c>
      <c r="BP144" s="210">
        <v>38.4</v>
      </c>
      <c r="BQ144" s="208">
        <f t="shared" si="214"/>
        <v>0</v>
      </c>
      <c r="BR144" s="175">
        <f t="shared" si="213"/>
        <v>579</v>
      </c>
    </row>
    <row r="145" spans="1:70" ht="25.8" thickBot="1" x14ac:dyDescent="0.65">
      <c r="A145" s="64">
        <v>137</v>
      </c>
      <c r="B145" s="166" t="s">
        <v>189</v>
      </c>
      <c r="C145" s="156" t="s">
        <v>171</v>
      </c>
      <c r="D145" s="167">
        <v>42156</v>
      </c>
      <c r="E145" s="168">
        <v>5</v>
      </c>
      <c r="F145" s="160">
        <f t="shared" ref="F145:F157" si="242">+E145*$C$1</f>
        <v>2666.65</v>
      </c>
      <c r="G145" s="160">
        <f t="shared" si="238"/>
        <v>1063.8</v>
      </c>
      <c r="H145" s="161">
        <f t="shared" si="239"/>
        <v>3730.45</v>
      </c>
      <c r="I145" s="162">
        <v>11</v>
      </c>
      <c r="J145" s="88">
        <v>11</v>
      </c>
      <c r="L145" s="173">
        <v>46441</v>
      </c>
      <c r="M145" s="164"/>
      <c r="N145" s="165" t="str">
        <f t="shared" ca="1" si="219"/>
        <v>O.K.</v>
      </c>
      <c r="W145" s="1" t="s">
        <v>189</v>
      </c>
      <c r="X145" s="50">
        <v>0</v>
      </c>
      <c r="Y145" s="48">
        <v>96</v>
      </c>
      <c r="Z145" s="49">
        <v>96</v>
      </c>
      <c r="AA145" s="49">
        <v>96</v>
      </c>
      <c r="AB145" s="49">
        <v>78</v>
      </c>
      <c r="AC145" s="31">
        <v>78</v>
      </c>
      <c r="AD145" s="28">
        <f t="shared" si="231"/>
        <v>0</v>
      </c>
      <c r="AE145" s="52">
        <v>210.6</v>
      </c>
      <c r="AF145" s="52">
        <f>+(0)+(0)+(0)+(0)+(0)+(54)</f>
        <v>54</v>
      </c>
      <c r="AG145" s="49">
        <v>120</v>
      </c>
      <c r="AH145" s="22">
        <f t="shared" si="232"/>
        <v>144.60000000000002</v>
      </c>
      <c r="AI145" s="52">
        <f t="shared" si="81"/>
        <v>0</v>
      </c>
      <c r="AJ145" s="52">
        <f t="shared" si="81"/>
        <v>0</v>
      </c>
      <c r="AK145" s="49">
        <v>120</v>
      </c>
      <c r="AL145" s="31">
        <f t="shared" si="233"/>
        <v>24.600000000000023</v>
      </c>
      <c r="AM145" s="52">
        <f t="shared" si="82"/>
        <v>0</v>
      </c>
      <c r="AN145" s="52">
        <f>+(0)+(78)+(0)+(0)+(0)+(96)</f>
        <v>174</v>
      </c>
      <c r="AO145" s="72">
        <v>120</v>
      </c>
      <c r="AP145" s="74">
        <f t="shared" si="234"/>
        <v>78.600000000000023</v>
      </c>
      <c r="AQ145" s="76">
        <f t="shared" si="83"/>
        <v>0</v>
      </c>
      <c r="AR145" s="76">
        <f>+(0)+(96)+(0)+(0)+(0)+(0)</f>
        <v>96</v>
      </c>
      <c r="AS145" s="74">
        <v>120</v>
      </c>
      <c r="AT145" s="74">
        <f t="shared" ref="AT145:AT157" si="243">+AP145+AQ145+AR145-AS145</f>
        <v>54.600000000000023</v>
      </c>
      <c r="AU145" s="73">
        <f>+(67.2)+(0)+(0)+(0)</f>
        <v>67.2</v>
      </c>
      <c r="AV145" s="73">
        <f>+(0)+(0)+(96)+(0)+(0)+(0)+(0)+(0)</f>
        <v>96</v>
      </c>
      <c r="AW145" s="73">
        <v>120</v>
      </c>
      <c r="AX145" s="73">
        <f>+AT145+AU145+AV145-AW145</f>
        <v>97.800000000000011</v>
      </c>
      <c r="AY145" s="109">
        <f t="shared" si="241"/>
        <v>0</v>
      </c>
      <c r="AZ145" s="109">
        <f t="shared" ref="AZ145:AZ400" si="244">+(0)+(0)+(0)+(0)+(0)+(0)+(0)+(0)</f>
        <v>0</v>
      </c>
      <c r="BA145" s="61">
        <v>97.8</v>
      </c>
      <c r="BB145" s="61">
        <f t="shared" si="223"/>
        <v>0</v>
      </c>
      <c r="BD145" s="88">
        <v>0</v>
      </c>
      <c r="BE145" s="88">
        <v>0</v>
      </c>
      <c r="BF145" s="88">
        <v>0</v>
      </c>
      <c r="BG145" s="88">
        <v>0</v>
      </c>
      <c r="BH145" s="88">
        <v>0</v>
      </c>
      <c r="BI145" s="88">
        <v>0</v>
      </c>
      <c r="BJ145" s="88">
        <v>0</v>
      </c>
      <c r="BK145" s="88">
        <v>0</v>
      </c>
      <c r="BL145" s="88">
        <v>0</v>
      </c>
      <c r="BM145" s="88">
        <v>0</v>
      </c>
      <c r="BN145" s="88">
        <v>0</v>
      </c>
      <c r="BO145" s="88">
        <v>0</v>
      </c>
      <c r="BP145" s="210">
        <v>0</v>
      </c>
      <c r="BQ145" s="208">
        <f t="shared" si="214"/>
        <v>0</v>
      </c>
      <c r="BR145" s="175">
        <f t="shared" si="213"/>
        <v>1063.8</v>
      </c>
    </row>
    <row r="146" spans="1:70" ht="25.8" thickBot="1" x14ac:dyDescent="0.65">
      <c r="A146" s="64">
        <v>138</v>
      </c>
      <c r="B146" s="166" t="s">
        <v>344</v>
      </c>
      <c r="C146" s="156" t="s">
        <v>20</v>
      </c>
      <c r="D146" s="167">
        <v>44501</v>
      </c>
      <c r="E146" s="168">
        <v>2</v>
      </c>
      <c r="F146" s="160">
        <f t="shared" si="242"/>
        <v>1066.6600000000001</v>
      </c>
      <c r="G146" s="160">
        <f t="shared" si="238"/>
        <v>654</v>
      </c>
      <c r="H146" s="161">
        <f t="shared" si="239"/>
        <v>1720.66</v>
      </c>
      <c r="I146" s="162">
        <v>13</v>
      </c>
      <c r="J146" s="88">
        <v>13</v>
      </c>
      <c r="L146" s="173">
        <v>46692</v>
      </c>
      <c r="M146" s="164"/>
      <c r="N146" s="165" t="str">
        <f t="shared" ca="1" si="219"/>
        <v>O.K.</v>
      </c>
      <c r="W146" s="1" t="s">
        <v>344</v>
      </c>
      <c r="X146" s="50">
        <v>0</v>
      </c>
      <c r="Y146" s="48">
        <v>0</v>
      </c>
      <c r="Z146" s="49">
        <v>0</v>
      </c>
      <c r="AA146" s="49">
        <v>0</v>
      </c>
      <c r="AB146" s="49">
        <v>0</v>
      </c>
      <c r="AC146" s="31">
        <v>0</v>
      </c>
      <c r="AD146" s="28">
        <f t="shared" si="231"/>
        <v>0</v>
      </c>
      <c r="AE146" s="52">
        <v>0</v>
      </c>
      <c r="AF146" s="52">
        <v>0</v>
      </c>
      <c r="AG146" s="49">
        <v>0</v>
      </c>
      <c r="AH146" s="22">
        <f t="shared" si="232"/>
        <v>0</v>
      </c>
      <c r="AI146" s="52">
        <f t="shared" si="81"/>
        <v>0</v>
      </c>
      <c r="AJ146" s="52">
        <f t="shared" si="81"/>
        <v>0</v>
      </c>
      <c r="AK146" s="49">
        <v>0</v>
      </c>
      <c r="AL146" s="31">
        <f t="shared" si="233"/>
        <v>0</v>
      </c>
      <c r="AM146" s="52">
        <f>+(0)+(0)+(0)+(0)+(0)+(54)</f>
        <v>54</v>
      </c>
      <c r="AN146" s="52">
        <f t="shared" si="82"/>
        <v>0</v>
      </c>
      <c r="AO146" s="72">
        <v>54</v>
      </c>
      <c r="AP146" s="74">
        <f t="shared" si="234"/>
        <v>0</v>
      </c>
      <c r="AQ146" s="76">
        <f>+(0)+(0)+(0)+(0)+(84)+(120)</f>
        <v>204</v>
      </c>
      <c r="AR146" s="76">
        <f t="shared" si="83"/>
        <v>0</v>
      </c>
      <c r="AS146" s="74">
        <v>150</v>
      </c>
      <c r="AT146" s="74">
        <f t="shared" si="243"/>
        <v>54</v>
      </c>
      <c r="AU146" s="73">
        <f>+(0)+(0)+(0)+(297.6)</f>
        <v>297.60000000000002</v>
      </c>
      <c r="AV146" s="73">
        <f>+(0)+(0)+(0)+(0)+(0)+(54)+(0)+(0)</f>
        <v>54</v>
      </c>
      <c r="AW146" s="73">
        <v>150</v>
      </c>
      <c r="AX146" s="73">
        <f t="shared" ref="AX146:AX173" si="245">+AT146+AU146+AV146-AW146</f>
        <v>255.60000000000002</v>
      </c>
      <c r="AY146" s="109">
        <f>+(0)+(30)+(0)+(0)</f>
        <v>30</v>
      </c>
      <c r="AZ146" s="109">
        <f>+(0)+(0)+(162)+(0)+(0)+(0)+(0)+(0)</f>
        <v>162</v>
      </c>
      <c r="BA146" s="61">
        <v>150</v>
      </c>
      <c r="BB146" s="61">
        <f t="shared" si="223"/>
        <v>297.60000000000002</v>
      </c>
      <c r="BD146" s="88">
        <v>0</v>
      </c>
      <c r="BE146" s="88">
        <v>0</v>
      </c>
      <c r="BF146" s="88">
        <v>0</v>
      </c>
      <c r="BG146" s="88">
        <v>0</v>
      </c>
      <c r="BH146" s="88">
        <v>0</v>
      </c>
      <c r="BI146" s="88">
        <v>0</v>
      </c>
      <c r="BJ146" s="88">
        <v>0</v>
      </c>
      <c r="BK146" s="88">
        <v>0</v>
      </c>
      <c r="BL146" s="88">
        <v>0</v>
      </c>
      <c r="BM146" s="88">
        <v>0</v>
      </c>
      <c r="BN146" s="88">
        <v>0</v>
      </c>
      <c r="BO146" s="88">
        <v>0</v>
      </c>
      <c r="BP146" s="210">
        <v>150</v>
      </c>
      <c r="BQ146" s="208">
        <f t="shared" si="214"/>
        <v>147.60000000000002</v>
      </c>
      <c r="BR146" s="175">
        <f t="shared" si="213"/>
        <v>654</v>
      </c>
    </row>
    <row r="147" spans="1:70" ht="25.8" thickBot="1" x14ac:dyDescent="0.65">
      <c r="A147" s="64">
        <v>139</v>
      </c>
      <c r="B147" s="166" t="s">
        <v>190</v>
      </c>
      <c r="C147" s="156" t="s">
        <v>20</v>
      </c>
      <c r="D147" s="167">
        <v>42005</v>
      </c>
      <c r="E147" s="168">
        <v>7</v>
      </c>
      <c r="F147" s="160">
        <f t="shared" si="242"/>
        <v>3733.3100000000004</v>
      </c>
      <c r="G147" s="160">
        <f t="shared" si="238"/>
        <v>2166</v>
      </c>
      <c r="H147" s="161">
        <f t="shared" si="239"/>
        <v>5899.31</v>
      </c>
      <c r="I147" s="162">
        <v>8</v>
      </c>
      <c r="J147" s="88">
        <v>8</v>
      </c>
      <c r="L147" s="173">
        <v>46388</v>
      </c>
      <c r="M147" s="164"/>
      <c r="N147" s="165" t="str">
        <f t="shared" ca="1" si="219"/>
        <v>O.K.</v>
      </c>
      <c r="W147" s="1" t="s">
        <v>190</v>
      </c>
      <c r="X147" s="50">
        <v>750</v>
      </c>
      <c r="Y147" s="48">
        <v>150</v>
      </c>
      <c r="Z147" s="49">
        <v>96</v>
      </c>
      <c r="AA147" s="49">
        <v>96</v>
      </c>
      <c r="AB147" s="49">
        <v>150</v>
      </c>
      <c r="AC147" s="31">
        <v>156</v>
      </c>
      <c r="AD147" s="28">
        <f t="shared" si="231"/>
        <v>6</v>
      </c>
      <c r="AE147" s="52">
        <v>132</v>
      </c>
      <c r="AF147" s="52">
        <f>+(0)+(54)+(0)+(0)+(0)+(54)</f>
        <v>108</v>
      </c>
      <c r="AG147" s="49">
        <v>150</v>
      </c>
      <c r="AH147" s="22">
        <f t="shared" si="232"/>
        <v>96</v>
      </c>
      <c r="AI147" s="52">
        <f t="shared" si="81"/>
        <v>0</v>
      </c>
      <c r="AJ147" s="52">
        <f>+(0)+(132)+(0)+(0)+(0)+(0)</f>
        <v>132</v>
      </c>
      <c r="AK147" s="49">
        <v>150</v>
      </c>
      <c r="AL147" s="31">
        <f t="shared" si="233"/>
        <v>78</v>
      </c>
      <c r="AM147" s="52">
        <f t="shared" si="82"/>
        <v>0</v>
      </c>
      <c r="AN147" s="52">
        <f>+(0)+(0)+(0)+(0)+(0)+(96)</f>
        <v>96</v>
      </c>
      <c r="AO147" s="72">
        <v>150</v>
      </c>
      <c r="AP147" s="74">
        <f t="shared" si="234"/>
        <v>24</v>
      </c>
      <c r="AQ147" s="76">
        <f>+(0)+(54)+(0)+(0)+(54)+(0)</f>
        <v>108</v>
      </c>
      <c r="AR147" s="76">
        <f>+(0)+(96)+(0)+(0)+(0)+(0)</f>
        <v>96</v>
      </c>
      <c r="AS147" s="74">
        <v>150</v>
      </c>
      <c r="AT147" s="74">
        <f t="shared" si="243"/>
        <v>78</v>
      </c>
      <c r="AU147" s="73">
        <f>+(0)+(0)+(0)+(96)</f>
        <v>96</v>
      </c>
      <c r="AV147" s="73">
        <f>+(0)+(0)+(96)+(0)+(0)+(0)+(0)+(0)</f>
        <v>96</v>
      </c>
      <c r="AW147" s="73">
        <v>150</v>
      </c>
      <c r="AX147" s="73">
        <f t="shared" si="245"/>
        <v>120</v>
      </c>
      <c r="AY147" s="109">
        <f t="shared" si="241"/>
        <v>0</v>
      </c>
      <c r="AZ147" s="109">
        <f>+(0)+(54)+(0)+(0)+(0)+(0)+(0)+(0)</f>
        <v>54</v>
      </c>
      <c r="BA147" s="61">
        <v>150</v>
      </c>
      <c r="BB147" s="61">
        <f t="shared" si="223"/>
        <v>24</v>
      </c>
      <c r="BD147" s="88">
        <v>0</v>
      </c>
      <c r="BE147" s="88">
        <v>0</v>
      </c>
      <c r="BF147" s="88">
        <v>0</v>
      </c>
      <c r="BG147" s="88">
        <v>0</v>
      </c>
      <c r="BH147" s="88">
        <v>0</v>
      </c>
      <c r="BI147" s="88">
        <v>0</v>
      </c>
      <c r="BJ147" s="88">
        <v>0</v>
      </c>
      <c r="BK147" s="88">
        <v>0</v>
      </c>
      <c r="BL147" s="88">
        <v>0</v>
      </c>
      <c r="BM147" s="88">
        <v>0</v>
      </c>
      <c r="BN147" s="88">
        <v>0</v>
      </c>
      <c r="BO147" s="88">
        <v>0</v>
      </c>
      <c r="BP147" s="210">
        <v>24</v>
      </c>
      <c r="BQ147" s="208">
        <f t="shared" si="214"/>
        <v>0</v>
      </c>
      <c r="BR147" s="175">
        <f t="shared" si="213"/>
        <v>2166</v>
      </c>
    </row>
    <row r="148" spans="1:70" ht="25.8" thickBot="1" x14ac:dyDescent="0.65">
      <c r="A148" s="64">
        <v>140</v>
      </c>
      <c r="B148" s="112" t="s">
        <v>257</v>
      </c>
      <c r="C148" s="113" t="s">
        <v>20</v>
      </c>
      <c r="D148" s="123">
        <v>43405</v>
      </c>
      <c r="E148" s="115">
        <v>3</v>
      </c>
      <c r="F148" s="116">
        <f t="shared" si="242"/>
        <v>1599.9900000000002</v>
      </c>
      <c r="G148" s="116">
        <f t="shared" si="238"/>
        <v>1308</v>
      </c>
      <c r="H148" s="117">
        <f t="shared" si="239"/>
        <v>2907.9900000000002</v>
      </c>
      <c r="I148" s="118">
        <v>12</v>
      </c>
      <c r="J148" s="88">
        <v>12</v>
      </c>
      <c r="L148" s="119">
        <v>46327</v>
      </c>
      <c r="M148" s="120"/>
      <c r="N148" s="121" t="str">
        <f t="shared" ca="1" si="219"/>
        <v>O.K.</v>
      </c>
      <c r="W148" s="1" t="s">
        <v>257</v>
      </c>
      <c r="X148" s="50">
        <v>108</v>
      </c>
      <c r="Y148" s="48">
        <v>0</v>
      </c>
      <c r="Z148" s="49">
        <v>0</v>
      </c>
      <c r="AA148" s="49">
        <v>0</v>
      </c>
      <c r="AB148" s="49">
        <v>150</v>
      </c>
      <c r="AC148" s="31">
        <v>288</v>
      </c>
      <c r="AD148" s="28">
        <f t="shared" si="231"/>
        <v>138</v>
      </c>
      <c r="AE148" s="52">
        <f>156+132.6</f>
        <v>288.60000000000002</v>
      </c>
      <c r="AF148" s="52">
        <f>+(78)+(0)+(0)+(0)+(78)+(54)</f>
        <v>210</v>
      </c>
      <c r="AG148" s="49">
        <v>150</v>
      </c>
      <c r="AH148" s="22">
        <f t="shared" si="232"/>
        <v>486.6</v>
      </c>
      <c r="AI148" s="52">
        <f t="shared" si="81"/>
        <v>0</v>
      </c>
      <c r="AJ148" s="52">
        <f>+(264)+(30)+(54.6)+(0)+(78)+(0)</f>
        <v>426.6</v>
      </c>
      <c r="AK148" s="49">
        <v>150</v>
      </c>
      <c r="AL148" s="31">
        <f t="shared" si="233"/>
        <v>763.2</v>
      </c>
      <c r="AM148" s="52">
        <f>+(0)+(0)+(0)+(0)+(0)+(30)</f>
        <v>30</v>
      </c>
      <c r="AN148" s="52">
        <f>+(0)+(0)+(0)+(0)+(78)+(192)</f>
        <v>270</v>
      </c>
      <c r="AO148" s="72">
        <v>150</v>
      </c>
      <c r="AP148" s="74">
        <f t="shared" si="234"/>
        <v>913.2</v>
      </c>
      <c r="AQ148" s="76">
        <f>+(108)+(0)+(0)+(0)+(54)+(0)</f>
        <v>162</v>
      </c>
      <c r="AR148" s="76">
        <f t="shared" si="83"/>
        <v>0</v>
      </c>
      <c r="AS148" s="74">
        <v>150</v>
      </c>
      <c r="AT148" s="74">
        <f t="shared" si="243"/>
        <v>925.2</v>
      </c>
      <c r="AU148" s="73">
        <f>+(0)+(0)+(0)+(216)</f>
        <v>216</v>
      </c>
      <c r="AV148" s="73">
        <f>+(0)+(0)+(78)+(0)+(0)+(0)+(0)+(0)</f>
        <v>78</v>
      </c>
      <c r="AW148" s="73">
        <v>150</v>
      </c>
      <c r="AX148" s="73">
        <f t="shared" si="245"/>
        <v>1069.2</v>
      </c>
      <c r="AY148" s="109">
        <f t="shared" si="241"/>
        <v>0</v>
      </c>
      <c r="AZ148" s="109">
        <f>+(0)+(0)+(0)+(0)+(0)+(0)+(60)+(0)</f>
        <v>60</v>
      </c>
      <c r="BA148" s="61">
        <v>150</v>
      </c>
      <c r="BB148" s="61">
        <f t="shared" si="223"/>
        <v>979.2</v>
      </c>
      <c r="BD148" s="88">
        <v>0</v>
      </c>
      <c r="BE148" s="88">
        <v>0</v>
      </c>
      <c r="BF148" s="88">
        <v>0</v>
      </c>
      <c r="BG148" s="88">
        <v>0</v>
      </c>
      <c r="BH148" s="88">
        <v>0</v>
      </c>
      <c r="BI148" s="88">
        <v>0</v>
      </c>
      <c r="BJ148" s="88">
        <v>0</v>
      </c>
      <c r="BK148" s="88">
        <v>0</v>
      </c>
      <c r="BL148" s="88">
        <v>0</v>
      </c>
      <c r="BM148" s="88">
        <v>0</v>
      </c>
      <c r="BN148" s="88">
        <v>0</v>
      </c>
      <c r="BO148" s="88">
        <v>0</v>
      </c>
      <c r="BP148" s="210">
        <v>150</v>
      </c>
      <c r="BQ148" s="208">
        <f t="shared" si="214"/>
        <v>829.2</v>
      </c>
      <c r="BR148" s="175">
        <f t="shared" si="213"/>
        <v>1308</v>
      </c>
    </row>
    <row r="149" spans="1:70" ht="25.8" thickBot="1" x14ac:dyDescent="0.65">
      <c r="A149" s="64">
        <v>141</v>
      </c>
      <c r="B149" s="166" t="s">
        <v>191</v>
      </c>
      <c r="C149" s="156" t="s">
        <v>23</v>
      </c>
      <c r="D149" s="170">
        <v>42164</v>
      </c>
      <c r="E149" s="168">
        <v>5</v>
      </c>
      <c r="F149" s="160">
        <f t="shared" si="242"/>
        <v>2666.65</v>
      </c>
      <c r="G149" s="160">
        <f t="shared" si="238"/>
        <v>1152</v>
      </c>
      <c r="H149" s="161">
        <f t="shared" si="239"/>
        <v>3818.65</v>
      </c>
      <c r="I149" s="162">
        <v>11</v>
      </c>
      <c r="J149" s="88">
        <v>11</v>
      </c>
      <c r="L149" s="173">
        <v>46547</v>
      </c>
      <c r="M149" s="164"/>
      <c r="N149" s="165" t="str">
        <f t="shared" ca="1" si="219"/>
        <v>O.K.</v>
      </c>
      <c r="W149" s="1" t="s">
        <v>191</v>
      </c>
      <c r="X149" s="50">
        <v>0</v>
      </c>
      <c r="Y149" s="48">
        <v>96</v>
      </c>
      <c r="Z149" s="49">
        <v>96</v>
      </c>
      <c r="AA149" s="49">
        <v>120</v>
      </c>
      <c r="AB149" s="49">
        <v>0</v>
      </c>
      <c r="AC149" s="31">
        <v>0</v>
      </c>
      <c r="AD149" s="28">
        <f t="shared" si="231"/>
        <v>0</v>
      </c>
      <c r="AE149" s="52">
        <v>186.6</v>
      </c>
      <c r="AF149" s="52">
        <f>+(0)+(37.8)+(0)+(92.4)+(0)+(54)</f>
        <v>184.2</v>
      </c>
      <c r="AG149" s="49">
        <v>120</v>
      </c>
      <c r="AH149" s="22">
        <f t="shared" si="232"/>
        <v>250.79999999999995</v>
      </c>
      <c r="AI149" s="52">
        <f>+(0)+(0)+(108)+(0)+(0)+(0)</f>
        <v>108</v>
      </c>
      <c r="AJ149" s="52">
        <f>+(108)+(0)+(0)+(0)+(0)+(0)</f>
        <v>108</v>
      </c>
      <c r="AK149" s="49">
        <v>120</v>
      </c>
      <c r="AL149" s="31">
        <f t="shared" si="233"/>
        <v>346.79999999999995</v>
      </c>
      <c r="AM149" s="52">
        <f t="shared" si="82"/>
        <v>0</v>
      </c>
      <c r="AN149" s="52">
        <f>+(0)+(0)+(0)+(0)+(0)+(204)</f>
        <v>204</v>
      </c>
      <c r="AO149" s="72">
        <v>120</v>
      </c>
      <c r="AP149" s="74">
        <f t="shared" si="234"/>
        <v>430.79999999999995</v>
      </c>
      <c r="AQ149" s="76">
        <f>+(0)+(0)+(0)+(0)+(54)+(0)</f>
        <v>54</v>
      </c>
      <c r="AR149" s="76">
        <f t="shared" si="83"/>
        <v>0</v>
      </c>
      <c r="AS149" s="74">
        <v>120</v>
      </c>
      <c r="AT149" s="74">
        <f t="shared" si="243"/>
        <v>364.79999999999995</v>
      </c>
      <c r="AU149" s="73">
        <f>+(0)+(0)+(0)+(21.6)</f>
        <v>21.6</v>
      </c>
      <c r="AV149" s="73">
        <f>+(0)+(0)+(96)+(0)+(0)+(0)+(0)+(0)</f>
        <v>96</v>
      </c>
      <c r="AW149" s="73">
        <v>120</v>
      </c>
      <c r="AX149" s="73">
        <f t="shared" si="245"/>
        <v>362.4</v>
      </c>
      <c r="AY149" s="109">
        <f t="shared" si="241"/>
        <v>0</v>
      </c>
      <c r="AZ149" s="109">
        <f t="shared" si="244"/>
        <v>0</v>
      </c>
      <c r="BA149" s="61">
        <v>120</v>
      </c>
      <c r="BB149" s="61">
        <f t="shared" si="223"/>
        <v>242.39999999999998</v>
      </c>
      <c r="BD149" s="88">
        <v>0</v>
      </c>
      <c r="BE149" s="88">
        <v>0</v>
      </c>
      <c r="BF149" s="88">
        <v>0</v>
      </c>
      <c r="BG149" s="88">
        <v>0</v>
      </c>
      <c r="BH149" s="88">
        <v>0</v>
      </c>
      <c r="BI149" s="88">
        <v>0</v>
      </c>
      <c r="BJ149" s="88">
        <v>0</v>
      </c>
      <c r="BK149" s="88">
        <v>0</v>
      </c>
      <c r="BL149" s="88">
        <v>0</v>
      </c>
      <c r="BM149" s="88">
        <v>0</v>
      </c>
      <c r="BN149" s="88">
        <v>0</v>
      </c>
      <c r="BO149" s="88">
        <v>0</v>
      </c>
      <c r="BP149" s="210">
        <v>120</v>
      </c>
      <c r="BQ149" s="208">
        <f t="shared" si="214"/>
        <v>122.39999999999998</v>
      </c>
      <c r="BR149" s="175">
        <f t="shared" si="213"/>
        <v>1152</v>
      </c>
    </row>
    <row r="150" spans="1:70" ht="25.8" thickBot="1" x14ac:dyDescent="0.65">
      <c r="A150" s="64">
        <v>142</v>
      </c>
      <c r="B150" s="112" t="s">
        <v>83</v>
      </c>
      <c r="C150" s="113" t="s">
        <v>23</v>
      </c>
      <c r="D150" s="112" t="s">
        <v>156</v>
      </c>
      <c r="E150" s="115">
        <v>7</v>
      </c>
      <c r="F150" s="116">
        <f t="shared" si="242"/>
        <v>3733.3100000000004</v>
      </c>
      <c r="G150" s="116">
        <f t="shared" si="238"/>
        <v>2088</v>
      </c>
      <c r="H150" s="117">
        <f t="shared" si="239"/>
        <v>5821.31</v>
      </c>
      <c r="I150" s="118">
        <v>8</v>
      </c>
      <c r="J150" s="88">
        <v>8</v>
      </c>
      <c r="L150" s="119">
        <v>46266</v>
      </c>
      <c r="M150" s="120"/>
      <c r="N150" s="121" t="str">
        <f t="shared" ca="1" si="219"/>
        <v>O.K.</v>
      </c>
      <c r="W150" s="1" t="s">
        <v>83</v>
      </c>
      <c r="X150" s="50">
        <v>816</v>
      </c>
      <c r="Y150" s="48">
        <v>96</v>
      </c>
      <c r="Z150" s="49">
        <v>96</v>
      </c>
      <c r="AA150" s="49">
        <v>120</v>
      </c>
      <c r="AB150" s="49">
        <v>120</v>
      </c>
      <c r="AC150" s="31">
        <v>234</v>
      </c>
      <c r="AD150" s="28">
        <f t="shared" si="231"/>
        <v>114</v>
      </c>
      <c r="AE150" s="52">
        <f>156+108</f>
        <v>264</v>
      </c>
      <c r="AF150" s="52">
        <f>+(132)+(78)+(54)+(0)+(0)+(132)</f>
        <v>396</v>
      </c>
      <c r="AG150" s="49">
        <v>120</v>
      </c>
      <c r="AH150" s="22">
        <f t="shared" si="232"/>
        <v>654</v>
      </c>
      <c r="AI150" s="52">
        <f>+(0)+(0)+(0)+(0)+(78)+(0)</f>
        <v>78</v>
      </c>
      <c r="AJ150" s="52">
        <f>+(78)+(108)+(0)+(0)+(0)+(0)</f>
        <v>186</v>
      </c>
      <c r="AK150" s="49">
        <v>120</v>
      </c>
      <c r="AL150" s="31">
        <f t="shared" si="233"/>
        <v>798</v>
      </c>
      <c r="AM150" s="52">
        <f t="shared" si="82"/>
        <v>0</v>
      </c>
      <c r="AN150" s="52">
        <f>+(0)+(78)+(0)+(0)+(0)+(108)</f>
        <v>186</v>
      </c>
      <c r="AO150" s="72">
        <v>120</v>
      </c>
      <c r="AP150" s="74">
        <f t="shared" si="234"/>
        <v>864</v>
      </c>
      <c r="AQ150" s="76">
        <f>+(0)+(0)+(0)+(0)+(37.8)+(0)</f>
        <v>37.799999999999997</v>
      </c>
      <c r="AR150" s="76">
        <f t="shared" si="83"/>
        <v>0</v>
      </c>
      <c r="AS150" s="74">
        <v>120</v>
      </c>
      <c r="AT150" s="74">
        <f t="shared" si="243"/>
        <v>781.8</v>
      </c>
      <c r="AU150" s="73">
        <f>+(0)+(0)+(96)+(0)</f>
        <v>96</v>
      </c>
      <c r="AV150" s="73">
        <f>+(0)+(0)+(96)+(0)+(0)+(0)+(0)+(0)</f>
        <v>96</v>
      </c>
      <c r="AW150" s="73">
        <v>120</v>
      </c>
      <c r="AX150" s="73">
        <f t="shared" si="245"/>
        <v>853.8</v>
      </c>
      <c r="AY150" s="109">
        <f t="shared" si="241"/>
        <v>0</v>
      </c>
      <c r="AZ150" s="109">
        <f>+(30)+(0)+(0)+(0)+(21)+(0)+(132.6)+(0)</f>
        <v>183.6</v>
      </c>
      <c r="BA150" s="61">
        <v>120</v>
      </c>
      <c r="BB150" s="61">
        <f t="shared" si="223"/>
        <v>917.39999999999986</v>
      </c>
      <c r="BD150" s="153">
        <v>30</v>
      </c>
      <c r="BE150" s="153">
        <v>30</v>
      </c>
      <c r="BF150" s="88">
        <v>0</v>
      </c>
      <c r="BG150" s="88">
        <v>0</v>
      </c>
      <c r="BH150" s="88">
        <v>0</v>
      </c>
      <c r="BI150" s="88">
        <v>0</v>
      </c>
      <c r="BJ150" s="88">
        <v>0</v>
      </c>
      <c r="BK150" s="88">
        <v>0</v>
      </c>
      <c r="BL150" s="88">
        <v>0</v>
      </c>
      <c r="BM150" s="88">
        <v>0</v>
      </c>
      <c r="BN150" s="88">
        <v>0</v>
      </c>
      <c r="BO150" s="88">
        <v>0</v>
      </c>
      <c r="BP150" s="210">
        <v>120</v>
      </c>
      <c r="BQ150" s="208">
        <f t="shared" si="214"/>
        <v>857.39999999999986</v>
      </c>
      <c r="BR150" s="175">
        <f t="shared" si="213"/>
        <v>2088</v>
      </c>
    </row>
    <row r="151" spans="1:70" ht="25.8" thickBot="1" x14ac:dyDescent="0.65">
      <c r="A151" s="64">
        <v>143</v>
      </c>
      <c r="B151" s="166" t="s">
        <v>441</v>
      </c>
      <c r="C151" s="156" t="s">
        <v>20</v>
      </c>
      <c r="D151" s="167">
        <v>45369</v>
      </c>
      <c r="E151" s="168">
        <v>4</v>
      </c>
      <c r="F151" s="160">
        <f t="shared" si="242"/>
        <v>2133.3200000000002</v>
      </c>
      <c r="G151" s="160">
        <f t="shared" ref="G151" si="246">+BR151</f>
        <v>1470</v>
      </c>
      <c r="H151" s="161">
        <f t="shared" ref="H151" si="247">+F151+G151</f>
        <v>3603.32</v>
      </c>
      <c r="I151" s="162">
        <v>11</v>
      </c>
      <c r="J151" s="88">
        <v>11</v>
      </c>
      <c r="L151" s="173">
        <v>46459</v>
      </c>
      <c r="M151" s="164"/>
      <c r="N151" s="165" t="str">
        <f t="shared" ca="1" si="219"/>
        <v>O.K.</v>
      </c>
      <c r="W151" s="1" t="s">
        <v>441</v>
      </c>
      <c r="X151" s="68">
        <v>1170</v>
      </c>
      <c r="Y151" s="48">
        <v>0</v>
      </c>
      <c r="Z151" s="49">
        <v>0</v>
      </c>
      <c r="AA151" s="49">
        <v>0</v>
      </c>
      <c r="AB151" s="49">
        <v>0</v>
      </c>
      <c r="AC151" s="31">
        <v>0</v>
      </c>
      <c r="AD151" s="28">
        <f t="shared" si="231"/>
        <v>0</v>
      </c>
      <c r="AE151" s="52">
        <v>0</v>
      </c>
      <c r="AF151" s="52">
        <v>0</v>
      </c>
      <c r="AG151" s="49">
        <v>0</v>
      </c>
      <c r="AH151" s="22">
        <f t="shared" si="232"/>
        <v>0</v>
      </c>
      <c r="AI151" s="52">
        <v>0</v>
      </c>
      <c r="AJ151" s="52">
        <v>0</v>
      </c>
      <c r="AK151" s="49">
        <v>0</v>
      </c>
      <c r="AL151" s="31">
        <f t="shared" si="233"/>
        <v>0</v>
      </c>
      <c r="AM151" s="52">
        <v>0</v>
      </c>
      <c r="AN151" s="52">
        <v>0</v>
      </c>
      <c r="AO151" s="72">
        <v>0</v>
      </c>
      <c r="AP151" s="74">
        <f t="shared" si="234"/>
        <v>0</v>
      </c>
      <c r="AQ151" s="76">
        <v>0</v>
      </c>
      <c r="AR151" s="76">
        <v>0</v>
      </c>
      <c r="AS151" s="74">
        <v>0</v>
      </c>
      <c r="AT151" s="74">
        <f t="shared" si="243"/>
        <v>0</v>
      </c>
      <c r="AU151" s="73">
        <v>0</v>
      </c>
      <c r="AV151" s="73">
        <v>0</v>
      </c>
      <c r="AW151" s="73">
        <v>0</v>
      </c>
      <c r="AX151" s="73">
        <f t="shared" si="245"/>
        <v>0</v>
      </c>
      <c r="AY151" s="109">
        <f>+(0)+(0)+(0)+(78)</f>
        <v>78</v>
      </c>
      <c r="AZ151" s="109">
        <f>+(0)+(0)+(78)+(120)+(0)+(0)+(0)+(0)</f>
        <v>198</v>
      </c>
      <c r="BA151" s="61">
        <v>150</v>
      </c>
      <c r="BB151" s="61">
        <f t="shared" si="223"/>
        <v>126</v>
      </c>
      <c r="BD151" s="153">
        <v>78</v>
      </c>
      <c r="BE151" s="88">
        <v>0</v>
      </c>
      <c r="BF151" s="88">
        <v>0</v>
      </c>
      <c r="BG151" s="88">
        <v>0</v>
      </c>
      <c r="BH151" s="88">
        <v>0</v>
      </c>
      <c r="BI151" s="88">
        <v>0</v>
      </c>
      <c r="BJ151" s="88">
        <v>0</v>
      </c>
      <c r="BK151" s="88">
        <v>0</v>
      </c>
      <c r="BL151" s="88">
        <v>0</v>
      </c>
      <c r="BM151" s="88">
        <v>0</v>
      </c>
      <c r="BN151" s="88">
        <v>0</v>
      </c>
      <c r="BO151" s="88">
        <v>0</v>
      </c>
      <c r="BP151" s="210">
        <v>150</v>
      </c>
      <c r="BQ151" s="208">
        <f t="shared" si="214"/>
        <v>54</v>
      </c>
      <c r="BR151" s="175">
        <f t="shared" si="213"/>
        <v>1470</v>
      </c>
    </row>
    <row r="152" spans="1:70" ht="25.8" thickBot="1" x14ac:dyDescent="0.65">
      <c r="A152" s="64">
        <v>144</v>
      </c>
      <c r="B152" s="166" t="s">
        <v>249</v>
      </c>
      <c r="C152" s="156" t="s">
        <v>171</v>
      </c>
      <c r="D152" s="170">
        <v>42856</v>
      </c>
      <c r="E152" s="168">
        <v>4</v>
      </c>
      <c r="F152" s="160">
        <f t="shared" si="242"/>
        <v>2133.3200000000002</v>
      </c>
      <c r="G152" s="160">
        <f t="shared" si="238"/>
        <v>1080</v>
      </c>
      <c r="H152" s="161">
        <f t="shared" ref="H152:H161" si="248">+F152+G152</f>
        <v>3213.32</v>
      </c>
      <c r="I152" s="162">
        <v>11</v>
      </c>
      <c r="J152" s="88">
        <v>11</v>
      </c>
      <c r="L152" s="173">
        <v>46508</v>
      </c>
      <c r="M152" s="164"/>
      <c r="N152" s="165" t="str">
        <f t="shared" ca="1" si="219"/>
        <v>O.K.</v>
      </c>
      <c r="W152" s="1" t="s">
        <v>249</v>
      </c>
      <c r="X152" s="50">
        <v>0</v>
      </c>
      <c r="Y152" s="48">
        <v>0</v>
      </c>
      <c r="Z152" s="49">
        <v>0</v>
      </c>
      <c r="AA152" s="49">
        <v>120</v>
      </c>
      <c r="AB152" s="49">
        <v>120</v>
      </c>
      <c r="AC152" s="31">
        <v>234</v>
      </c>
      <c r="AD152" s="28">
        <f t="shared" si="231"/>
        <v>114</v>
      </c>
      <c r="AE152" s="52">
        <v>30</v>
      </c>
      <c r="AF152" s="52">
        <f>+(0)+(156)+(0)+(0)+(0)+(108.6)</f>
        <v>264.60000000000002</v>
      </c>
      <c r="AG152" s="49">
        <v>120</v>
      </c>
      <c r="AH152" s="22">
        <f t="shared" si="232"/>
        <v>288.60000000000002</v>
      </c>
      <c r="AI152" s="52">
        <f>+(0)+(0)+(0)+(0)+(132.6)+(0)</f>
        <v>132.6</v>
      </c>
      <c r="AJ152" s="52">
        <f t="shared" si="81"/>
        <v>0</v>
      </c>
      <c r="AK152" s="49">
        <v>120</v>
      </c>
      <c r="AL152" s="31">
        <f t="shared" si="233"/>
        <v>301.20000000000005</v>
      </c>
      <c r="AM152" s="52">
        <f t="shared" si="82"/>
        <v>0</v>
      </c>
      <c r="AN152" s="52">
        <f>+(186)+(0)+(0)+(0)+(0)+(96)</f>
        <v>282</v>
      </c>
      <c r="AO152" s="72">
        <v>120</v>
      </c>
      <c r="AP152" s="74">
        <f t="shared" si="234"/>
        <v>463.20000000000005</v>
      </c>
      <c r="AQ152" s="76">
        <f>+(0)+(0)+(0)+(0)+(108)+(0)</f>
        <v>108</v>
      </c>
      <c r="AR152" s="76">
        <f>+(0)+(234)+(0)+(0)+(0)+(0)</f>
        <v>234</v>
      </c>
      <c r="AS152" s="74">
        <v>120</v>
      </c>
      <c r="AT152" s="74">
        <f t="shared" si="243"/>
        <v>685.2</v>
      </c>
      <c r="AU152" s="73">
        <f>+(0)+(0)+(0)+(30)</f>
        <v>30</v>
      </c>
      <c r="AV152" s="73">
        <f>+(0)+(0)+(96)+(0)+(0)+(0)+(78)+(0)</f>
        <v>174</v>
      </c>
      <c r="AW152" s="73">
        <v>120</v>
      </c>
      <c r="AX152" s="73">
        <f t="shared" si="245"/>
        <v>769.2</v>
      </c>
      <c r="AY152" s="109">
        <f>+(0)+(0)+(0)+(54)</f>
        <v>54</v>
      </c>
      <c r="AZ152" s="109">
        <f>+(0)+(0)+(78)+(0)+(186)+(0)+(30)+(78)</f>
        <v>372</v>
      </c>
      <c r="BA152" s="61">
        <v>120</v>
      </c>
      <c r="BB152" s="61">
        <f t="shared" si="223"/>
        <v>1075.2</v>
      </c>
      <c r="BD152" s="88">
        <v>0</v>
      </c>
      <c r="BE152" s="88">
        <v>0</v>
      </c>
      <c r="BF152" s="88">
        <v>0</v>
      </c>
      <c r="BG152" s="88">
        <v>0</v>
      </c>
      <c r="BH152" s="88">
        <v>0</v>
      </c>
      <c r="BI152" s="88">
        <v>0</v>
      </c>
      <c r="BJ152" s="88">
        <v>0</v>
      </c>
      <c r="BK152" s="88">
        <v>0</v>
      </c>
      <c r="BL152" s="88">
        <v>0</v>
      </c>
      <c r="BM152" s="88">
        <v>0</v>
      </c>
      <c r="BN152" s="88">
        <v>0</v>
      </c>
      <c r="BO152" s="88">
        <v>0</v>
      </c>
      <c r="BP152" s="210">
        <v>120</v>
      </c>
      <c r="BQ152" s="208">
        <f t="shared" si="214"/>
        <v>955.2</v>
      </c>
      <c r="BR152" s="175">
        <f t="shared" si="213"/>
        <v>1080</v>
      </c>
    </row>
    <row r="153" spans="1:70" ht="25.8" thickBot="1" x14ac:dyDescent="0.65">
      <c r="A153" s="64">
        <v>145</v>
      </c>
      <c r="B153" s="166" t="s">
        <v>513</v>
      </c>
      <c r="C153" s="156" t="s">
        <v>23</v>
      </c>
      <c r="D153" s="170">
        <v>45873</v>
      </c>
      <c r="E153" s="168">
        <v>0</v>
      </c>
      <c r="F153" s="160">
        <f t="shared" si="242"/>
        <v>0</v>
      </c>
      <c r="G153" s="160">
        <f t="shared" ref="G153" si="249">+BR153</f>
        <v>0</v>
      </c>
      <c r="H153" s="161">
        <f t="shared" ref="H153" si="250">+F153+G153</f>
        <v>0</v>
      </c>
      <c r="I153" s="162">
        <v>15</v>
      </c>
      <c r="J153" s="88">
        <v>15</v>
      </c>
      <c r="L153" s="173">
        <v>46603</v>
      </c>
      <c r="M153" s="164"/>
      <c r="N153" s="165" t="str">
        <f t="shared" ca="1" si="219"/>
        <v>O.K.</v>
      </c>
      <c r="W153" s="1" t="s">
        <v>513</v>
      </c>
      <c r="X153" s="50"/>
      <c r="Y153" s="48"/>
      <c r="Z153" s="49"/>
      <c r="AA153" s="49"/>
      <c r="AB153" s="49"/>
      <c r="AC153" s="31"/>
      <c r="AD153" s="28"/>
      <c r="AE153" s="52"/>
      <c r="AF153" s="52"/>
      <c r="AG153" s="49"/>
      <c r="AH153" s="22"/>
      <c r="AI153" s="52"/>
      <c r="AJ153" s="52"/>
      <c r="AK153" s="49"/>
      <c r="AL153" s="31"/>
      <c r="AM153" s="52"/>
      <c r="AN153" s="52"/>
      <c r="AO153" s="72"/>
      <c r="AP153" s="74"/>
      <c r="AQ153" s="76"/>
      <c r="AR153" s="76"/>
      <c r="AS153" s="74"/>
      <c r="AT153" s="74"/>
      <c r="AU153" s="73"/>
      <c r="AV153" s="73"/>
      <c r="AW153" s="73"/>
      <c r="AX153" s="73"/>
      <c r="AY153" s="109">
        <f t="shared" si="241"/>
        <v>0</v>
      </c>
      <c r="AZ153" s="109">
        <f t="shared" si="244"/>
        <v>0</v>
      </c>
      <c r="BA153" s="61">
        <v>0</v>
      </c>
      <c r="BB153" s="61">
        <f t="shared" si="223"/>
        <v>0</v>
      </c>
      <c r="BD153" s="88">
        <v>0</v>
      </c>
      <c r="BE153" s="88">
        <v>0</v>
      </c>
      <c r="BF153" s="88">
        <v>0</v>
      </c>
      <c r="BG153" s="88">
        <v>0</v>
      </c>
      <c r="BH153" s="88">
        <v>0</v>
      </c>
      <c r="BI153" s="88">
        <v>0</v>
      </c>
      <c r="BJ153" s="88">
        <v>0</v>
      </c>
      <c r="BK153" s="88">
        <v>0</v>
      </c>
      <c r="BL153" s="88">
        <v>0</v>
      </c>
      <c r="BM153" s="88">
        <v>0</v>
      </c>
      <c r="BN153" s="88">
        <v>0</v>
      </c>
      <c r="BO153" s="88">
        <v>0</v>
      </c>
      <c r="BP153" s="210">
        <v>0</v>
      </c>
      <c r="BQ153" s="208">
        <f t="shared" ref="BQ153" si="251">+BB153+SUM(BD153:BG153)+SUM(BH153:BO153)-BP153</f>
        <v>0</v>
      </c>
      <c r="BR153" s="175">
        <f t="shared" ref="BR153" si="252">SUM(X153:AA153)+AB153+AG153+AK153+AO153+AS153+AW153+BA153+BP153</f>
        <v>0</v>
      </c>
    </row>
    <row r="154" spans="1:70" ht="25.8" thickBot="1" x14ac:dyDescent="0.65">
      <c r="A154" s="64">
        <v>146</v>
      </c>
      <c r="B154" s="166" t="s">
        <v>339</v>
      </c>
      <c r="C154" s="156" t="s">
        <v>21</v>
      </c>
      <c r="D154" s="170">
        <v>44378</v>
      </c>
      <c r="E154" s="168">
        <v>2</v>
      </c>
      <c r="F154" s="160">
        <f t="shared" si="242"/>
        <v>1066.6600000000001</v>
      </c>
      <c r="G154" s="160">
        <f t="shared" ref="G154" si="253">+BR154</f>
        <v>900</v>
      </c>
      <c r="H154" s="161">
        <f t="shared" ref="H154" si="254">+F154+G154</f>
        <v>1966.66</v>
      </c>
      <c r="I154" s="162">
        <v>13</v>
      </c>
      <c r="J154" s="88">
        <v>13</v>
      </c>
      <c r="L154" s="173">
        <v>46569</v>
      </c>
      <c r="M154" s="164"/>
      <c r="N154" s="165" t="str">
        <f t="shared" ca="1" si="219"/>
        <v>O.K.</v>
      </c>
      <c r="W154" s="1" t="s">
        <v>339</v>
      </c>
      <c r="X154" s="50">
        <v>0</v>
      </c>
      <c r="Y154" s="48">
        <v>0</v>
      </c>
      <c r="Z154" s="49">
        <v>0</v>
      </c>
      <c r="AA154" s="49">
        <v>0</v>
      </c>
      <c r="AB154" s="49">
        <v>0</v>
      </c>
      <c r="AC154" s="31">
        <v>0</v>
      </c>
      <c r="AD154" s="28">
        <f t="shared" si="231"/>
        <v>0</v>
      </c>
      <c r="AE154" s="52">
        <v>0</v>
      </c>
      <c r="AF154" s="52">
        <v>0</v>
      </c>
      <c r="AG154" s="49">
        <v>0</v>
      </c>
      <c r="AH154" s="22">
        <f t="shared" si="232"/>
        <v>0</v>
      </c>
      <c r="AI154" s="52">
        <f t="shared" si="81"/>
        <v>0</v>
      </c>
      <c r="AJ154" s="52">
        <f>+(0)+(0)+(0)+(0)+(78)+(120)</f>
        <v>198</v>
      </c>
      <c r="AK154" s="49">
        <v>150</v>
      </c>
      <c r="AL154" s="31">
        <f t="shared" si="233"/>
        <v>48</v>
      </c>
      <c r="AM154" s="52">
        <f t="shared" si="82"/>
        <v>0</v>
      </c>
      <c r="AN154" s="52">
        <f>+(0)+(78)+(0)+(0)+(0)+(96)</f>
        <v>174</v>
      </c>
      <c r="AO154" s="72">
        <v>150</v>
      </c>
      <c r="AP154" s="74">
        <f t="shared" si="234"/>
        <v>72</v>
      </c>
      <c r="AQ154" s="76">
        <f>+(108)+(0)+(0)+(0)+(54)+(84)</f>
        <v>246</v>
      </c>
      <c r="AR154" s="76">
        <f>+(0)+(37.8)+(0)+(0)+(0)+(0)</f>
        <v>37.799999999999997</v>
      </c>
      <c r="AS154" s="74">
        <v>150</v>
      </c>
      <c r="AT154" s="74">
        <f t="shared" si="243"/>
        <v>205.8</v>
      </c>
      <c r="AU154" s="73">
        <f>+(0)+(0)+(0)+(132)</f>
        <v>132</v>
      </c>
      <c r="AV154" s="73">
        <f>+(0)+(0)+(0)+(0)+(0)+(120)+(0)+(0)</f>
        <v>120</v>
      </c>
      <c r="AW154" s="73">
        <v>150</v>
      </c>
      <c r="AX154" s="73">
        <f t="shared" si="245"/>
        <v>307.8</v>
      </c>
      <c r="AY154" s="109">
        <f>+(0)+(0)+(0)+(54)</f>
        <v>54</v>
      </c>
      <c r="AZ154" s="109">
        <f>+(0)+(108)+(78)+(0)+(0)+(0)+(0)+(108)</f>
        <v>294</v>
      </c>
      <c r="BA154" s="61">
        <v>150</v>
      </c>
      <c r="BB154" s="61">
        <f t="shared" ref="BB154:BB178" si="255">(AX154+AY154+AZ154)-BA154</f>
        <v>505.79999999999995</v>
      </c>
      <c r="BD154" s="88">
        <v>0</v>
      </c>
      <c r="BE154" s="153">
        <v>78</v>
      </c>
      <c r="BF154" s="88">
        <v>0</v>
      </c>
      <c r="BG154" s="88">
        <v>0</v>
      </c>
      <c r="BH154" s="88">
        <v>0</v>
      </c>
      <c r="BI154" s="88">
        <v>0</v>
      </c>
      <c r="BJ154" s="88">
        <v>0</v>
      </c>
      <c r="BK154" s="88">
        <v>0</v>
      </c>
      <c r="BL154" s="88">
        <v>0</v>
      </c>
      <c r="BM154" s="88">
        <v>0</v>
      </c>
      <c r="BN154" s="88">
        <v>0</v>
      </c>
      <c r="BO154" s="88">
        <v>0</v>
      </c>
      <c r="BP154" s="210">
        <v>150</v>
      </c>
      <c r="BQ154" s="208">
        <f t="shared" si="214"/>
        <v>433.79999999999995</v>
      </c>
      <c r="BR154" s="175">
        <f t="shared" si="213"/>
        <v>900</v>
      </c>
    </row>
    <row r="155" spans="1:70" ht="25.8" thickBot="1" x14ac:dyDescent="0.65">
      <c r="A155" s="64">
        <v>147</v>
      </c>
      <c r="B155" s="181" t="s">
        <v>353</v>
      </c>
      <c r="C155" s="182" t="s">
        <v>20</v>
      </c>
      <c r="D155" s="183">
        <v>44551</v>
      </c>
      <c r="E155" s="184">
        <v>2</v>
      </c>
      <c r="F155" s="185">
        <f t="shared" si="242"/>
        <v>1066.6600000000001</v>
      </c>
      <c r="G155" s="185">
        <f>+BR155</f>
        <v>600</v>
      </c>
      <c r="H155" s="186">
        <f t="shared" si="248"/>
        <v>1666.66</v>
      </c>
      <c r="I155" s="187">
        <v>13</v>
      </c>
      <c r="J155" s="88">
        <v>13</v>
      </c>
      <c r="K155" s="134" t="s">
        <v>307</v>
      </c>
      <c r="L155" s="199">
        <v>46742</v>
      </c>
      <c r="M155" s="191"/>
      <c r="N155" s="189" t="str">
        <f t="shared" ca="1" si="219"/>
        <v>O.K.</v>
      </c>
      <c r="W155" s="1" t="s">
        <v>353</v>
      </c>
      <c r="X155" s="50">
        <v>0</v>
      </c>
      <c r="Y155" s="48">
        <v>0</v>
      </c>
      <c r="Z155" s="49">
        <v>0</v>
      </c>
      <c r="AA155" s="49">
        <v>0</v>
      </c>
      <c r="AB155" s="49">
        <v>0</v>
      </c>
      <c r="AC155" s="31">
        <v>0</v>
      </c>
      <c r="AD155" s="28">
        <f t="shared" si="231"/>
        <v>0</v>
      </c>
      <c r="AE155" s="52">
        <v>0</v>
      </c>
      <c r="AF155" s="52">
        <v>0</v>
      </c>
      <c r="AG155" s="49">
        <v>0</v>
      </c>
      <c r="AH155" s="22">
        <f t="shared" si="232"/>
        <v>0</v>
      </c>
      <c r="AI155" s="52">
        <v>0</v>
      </c>
      <c r="AJ155" s="52">
        <v>0</v>
      </c>
      <c r="AK155" s="49">
        <v>0</v>
      </c>
      <c r="AL155" s="31">
        <f t="shared" si="233"/>
        <v>0</v>
      </c>
      <c r="AM155" s="52">
        <f t="shared" si="82"/>
        <v>0</v>
      </c>
      <c r="AN155" s="52">
        <f t="shared" si="82"/>
        <v>0</v>
      </c>
      <c r="AO155" s="72">
        <v>0</v>
      </c>
      <c r="AP155" s="74">
        <f t="shared" si="234"/>
        <v>0</v>
      </c>
      <c r="AQ155" s="76">
        <f>+(336)+(0)+(0)+(0)+(108.6)+(0)</f>
        <v>444.6</v>
      </c>
      <c r="AR155" s="76">
        <f>+(0)+(108)+(0)+(0)+(0)+(0)</f>
        <v>108</v>
      </c>
      <c r="AS155" s="74">
        <v>150</v>
      </c>
      <c r="AT155" s="74">
        <f t="shared" si="243"/>
        <v>402.6</v>
      </c>
      <c r="AU155" s="73">
        <f>+(0)+(0)+(120)+(300)</f>
        <v>420</v>
      </c>
      <c r="AV155" s="73">
        <f>+(0)+(0)+(0)+(0)+(109.2)+(0)+(108)+(0)</f>
        <v>217.2</v>
      </c>
      <c r="AW155" s="73">
        <v>150</v>
      </c>
      <c r="AX155" s="73">
        <f t="shared" si="245"/>
        <v>889.8</v>
      </c>
      <c r="AY155" s="109">
        <f t="shared" si="241"/>
        <v>0</v>
      </c>
      <c r="AZ155" s="109">
        <f>+(0)+(67.2)+(252)+(0)+(156)+(78)+(0)+(0)</f>
        <v>553.20000000000005</v>
      </c>
      <c r="BA155" s="61">
        <v>150</v>
      </c>
      <c r="BB155" s="61">
        <f t="shared" si="255"/>
        <v>1293</v>
      </c>
      <c r="BD155" s="153">
        <v>78</v>
      </c>
      <c r="BE155" s="88">
        <v>0</v>
      </c>
      <c r="BF155" s="88">
        <v>0</v>
      </c>
      <c r="BG155" s="88">
        <v>0</v>
      </c>
      <c r="BH155" s="88">
        <v>0</v>
      </c>
      <c r="BI155" s="88">
        <v>0</v>
      </c>
      <c r="BJ155" s="88">
        <v>0</v>
      </c>
      <c r="BK155" s="88">
        <v>0</v>
      </c>
      <c r="BL155" s="88">
        <v>0</v>
      </c>
      <c r="BM155" s="88">
        <v>0</v>
      </c>
      <c r="BN155" s="88">
        <v>0</v>
      </c>
      <c r="BO155" s="88">
        <v>0</v>
      </c>
      <c r="BP155" s="210">
        <v>150</v>
      </c>
      <c r="BQ155" s="208">
        <f t="shared" si="214"/>
        <v>1221</v>
      </c>
      <c r="BR155" s="175">
        <f t="shared" si="213"/>
        <v>600</v>
      </c>
    </row>
    <row r="156" spans="1:70" ht="25.8" thickBot="1" x14ac:dyDescent="0.65">
      <c r="A156" s="64">
        <v>148</v>
      </c>
      <c r="B156" s="166" t="s">
        <v>287</v>
      </c>
      <c r="C156" s="156" t="s">
        <v>20</v>
      </c>
      <c r="D156" s="167">
        <v>43556</v>
      </c>
      <c r="E156" s="168">
        <v>3</v>
      </c>
      <c r="F156" s="160">
        <f t="shared" si="242"/>
        <v>1599.9900000000002</v>
      </c>
      <c r="G156" s="160">
        <f>+BR156</f>
        <v>1200</v>
      </c>
      <c r="H156" s="161">
        <f t="shared" si="248"/>
        <v>2799.9900000000002</v>
      </c>
      <c r="I156" s="162">
        <v>12</v>
      </c>
      <c r="J156" s="88">
        <v>12</v>
      </c>
      <c r="L156" s="169">
        <v>46478</v>
      </c>
      <c r="M156" s="164"/>
      <c r="N156" s="165" t="str">
        <f t="shared" ca="1" si="219"/>
        <v>O.K.</v>
      </c>
      <c r="W156" s="1" t="s">
        <v>287</v>
      </c>
      <c r="X156" s="50">
        <v>0</v>
      </c>
      <c r="Y156" s="48">
        <v>0</v>
      </c>
      <c r="Z156" s="49">
        <v>0</v>
      </c>
      <c r="AA156" s="49">
        <v>0</v>
      </c>
      <c r="AB156" s="49">
        <v>150</v>
      </c>
      <c r="AC156" s="31">
        <v>234</v>
      </c>
      <c r="AD156" s="28">
        <f t="shared" si="231"/>
        <v>84</v>
      </c>
      <c r="AE156" s="52">
        <f>180+54+147</f>
        <v>381</v>
      </c>
      <c r="AF156" s="52">
        <f>+(0)+(0)+(0)+(0)+(0)+(162)</f>
        <v>162</v>
      </c>
      <c r="AG156" s="49">
        <v>150</v>
      </c>
      <c r="AH156" s="22">
        <f t="shared" si="232"/>
        <v>477</v>
      </c>
      <c r="AI156" s="52">
        <f>+(0)+(0)+(78)+(0)+(0)+(0)</f>
        <v>78</v>
      </c>
      <c r="AJ156" s="52">
        <f>+(78)+(0)+(0)+(0)+(0)+(0)</f>
        <v>78</v>
      </c>
      <c r="AK156" s="49">
        <v>150</v>
      </c>
      <c r="AL156" s="31">
        <f t="shared" si="233"/>
        <v>483</v>
      </c>
      <c r="AM156" s="52">
        <f>+(0)+(0)+(0)+(0)+(0)+(30)</f>
        <v>30</v>
      </c>
      <c r="AN156" s="52">
        <f>+(0)+(0)+(0)+(0)+(0)+(192)</f>
        <v>192</v>
      </c>
      <c r="AO156" s="72">
        <v>150</v>
      </c>
      <c r="AP156" s="74">
        <f t="shared" si="234"/>
        <v>555</v>
      </c>
      <c r="AQ156" s="76">
        <f>+(108)+(0)+(0)+(0)+(54)+(0)</f>
        <v>162</v>
      </c>
      <c r="AR156" s="76">
        <f t="shared" si="83"/>
        <v>0</v>
      </c>
      <c r="AS156" s="74">
        <v>150</v>
      </c>
      <c r="AT156" s="74">
        <f t="shared" si="243"/>
        <v>567</v>
      </c>
      <c r="AU156" s="73">
        <f>+(0)+(0)+(0)+(390)</f>
        <v>390</v>
      </c>
      <c r="AV156" s="73">
        <f>+(0)+(0)+(96)+(0)+(0)+(0)+(0)+(0)</f>
        <v>96</v>
      </c>
      <c r="AW156" s="73">
        <v>150</v>
      </c>
      <c r="AX156" s="73">
        <f t="shared" si="245"/>
        <v>903</v>
      </c>
      <c r="AY156" s="109">
        <f>+(0)+(0)+(0)+(231.6)</f>
        <v>231.6</v>
      </c>
      <c r="AZ156" s="109">
        <f>+(0)+(0)+(78)+(0)+(0)+(78)+(0)+(0)</f>
        <v>156</v>
      </c>
      <c r="BA156" s="61">
        <v>150</v>
      </c>
      <c r="BB156" s="61">
        <f t="shared" si="255"/>
        <v>1140.5999999999999</v>
      </c>
      <c r="BD156" s="88">
        <v>0</v>
      </c>
      <c r="BE156" s="153">
        <v>78</v>
      </c>
      <c r="BF156" s="88">
        <v>0</v>
      </c>
      <c r="BG156" s="88">
        <v>0</v>
      </c>
      <c r="BH156" s="88">
        <v>0</v>
      </c>
      <c r="BI156" s="88">
        <v>0</v>
      </c>
      <c r="BJ156" s="88">
        <v>0</v>
      </c>
      <c r="BK156" s="88">
        <v>0</v>
      </c>
      <c r="BL156" s="88">
        <v>0</v>
      </c>
      <c r="BM156" s="88">
        <v>0</v>
      </c>
      <c r="BN156" s="88">
        <v>0</v>
      </c>
      <c r="BO156" s="88">
        <v>0</v>
      </c>
      <c r="BP156" s="210">
        <v>150</v>
      </c>
      <c r="BQ156" s="208">
        <f t="shared" si="214"/>
        <v>1068.5999999999999</v>
      </c>
      <c r="BR156" s="175">
        <f t="shared" si="213"/>
        <v>1200</v>
      </c>
    </row>
    <row r="157" spans="1:70" ht="25.8" thickBot="1" x14ac:dyDescent="0.65">
      <c r="A157" s="64">
        <v>149</v>
      </c>
      <c r="B157" s="112" t="s">
        <v>435</v>
      </c>
      <c r="C157" s="113" t="s">
        <v>21</v>
      </c>
      <c r="D157" s="114">
        <v>45329</v>
      </c>
      <c r="E157" s="115">
        <v>0</v>
      </c>
      <c r="F157" s="116">
        <f t="shared" si="242"/>
        <v>0</v>
      </c>
      <c r="G157" s="116">
        <f>+BR157</f>
        <v>450</v>
      </c>
      <c r="H157" s="117">
        <f t="shared" ref="H157" si="256">+F157+G157</f>
        <v>450</v>
      </c>
      <c r="I157" s="118">
        <v>15</v>
      </c>
      <c r="J157" s="88">
        <v>15</v>
      </c>
      <c r="L157" s="122">
        <v>46060</v>
      </c>
      <c r="M157" s="120"/>
      <c r="N157" s="121" t="str">
        <f t="shared" ca="1" si="219"/>
        <v>O.K.</v>
      </c>
      <c r="W157" s="1" t="s">
        <v>435</v>
      </c>
      <c r="X157" s="50">
        <v>0</v>
      </c>
      <c r="Y157" s="48">
        <v>0</v>
      </c>
      <c r="Z157" s="49">
        <v>0</v>
      </c>
      <c r="AA157" s="49">
        <v>0</v>
      </c>
      <c r="AB157" s="49">
        <v>0</v>
      </c>
      <c r="AC157" s="31">
        <v>0</v>
      </c>
      <c r="AD157" s="28">
        <f t="shared" si="231"/>
        <v>0</v>
      </c>
      <c r="AE157" s="52">
        <v>0</v>
      </c>
      <c r="AF157" s="52">
        <v>0</v>
      </c>
      <c r="AG157" s="49">
        <v>0</v>
      </c>
      <c r="AH157" s="22">
        <f t="shared" si="232"/>
        <v>0</v>
      </c>
      <c r="AI157" s="52">
        <v>0</v>
      </c>
      <c r="AJ157" s="52">
        <v>0</v>
      </c>
      <c r="AK157" s="49">
        <v>0</v>
      </c>
      <c r="AL157" s="31">
        <f t="shared" si="233"/>
        <v>0</v>
      </c>
      <c r="AM157" s="52">
        <v>0</v>
      </c>
      <c r="AN157" s="52">
        <v>0</v>
      </c>
      <c r="AO157" s="72">
        <v>0</v>
      </c>
      <c r="AP157" s="74">
        <f t="shared" si="234"/>
        <v>0</v>
      </c>
      <c r="AQ157" s="76">
        <v>0</v>
      </c>
      <c r="AR157" s="76">
        <v>0</v>
      </c>
      <c r="AS157" s="74">
        <v>0</v>
      </c>
      <c r="AT157" s="74">
        <f t="shared" si="243"/>
        <v>0</v>
      </c>
      <c r="AU157" s="73">
        <f t="shared" ref="AU157:AU406" si="257">+(0)+(0)+(0)+(0)</f>
        <v>0</v>
      </c>
      <c r="AV157" s="73">
        <f>+(0)+(0)+(0)+(0)+(0)+(0)+(132.6)+(78)</f>
        <v>210.6</v>
      </c>
      <c r="AW157" s="74">
        <v>150</v>
      </c>
      <c r="AX157" s="74">
        <f t="shared" si="245"/>
        <v>60.599999999999994</v>
      </c>
      <c r="AY157" s="109">
        <f>+(0)+(0)+(0)+(54)</f>
        <v>54</v>
      </c>
      <c r="AZ157" s="109">
        <f>+(0)+(0)+(78)+(0)+(0)+(234)+(108)+(78)</f>
        <v>498</v>
      </c>
      <c r="BA157" s="61">
        <v>150</v>
      </c>
      <c r="BB157" s="61">
        <f t="shared" si="255"/>
        <v>462.6</v>
      </c>
      <c r="BD157" s="153">
        <v>54.6</v>
      </c>
      <c r="BE157" s="88">
        <v>0</v>
      </c>
      <c r="BF157" s="88">
        <v>0</v>
      </c>
      <c r="BG157" s="88">
        <v>0</v>
      </c>
      <c r="BH157" s="88">
        <v>0</v>
      </c>
      <c r="BI157" s="88">
        <v>0</v>
      </c>
      <c r="BJ157" s="88">
        <v>0</v>
      </c>
      <c r="BK157" s="88">
        <v>0</v>
      </c>
      <c r="BL157" s="88">
        <v>0</v>
      </c>
      <c r="BM157" s="88">
        <v>0</v>
      </c>
      <c r="BN157" s="88">
        <v>0</v>
      </c>
      <c r="BO157" s="88">
        <v>0</v>
      </c>
      <c r="BP157" s="210">
        <v>150</v>
      </c>
      <c r="BQ157" s="208">
        <f t="shared" si="214"/>
        <v>367.20000000000005</v>
      </c>
      <c r="BR157" s="175">
        <f t="shared" si="213"/>
        <v>450</v>
      </c>
    </row>
    <row r="158" spans="1:70" ht="25.8" thickBot="1" x14ac:dyDescent="0.65">
      <c r="A158" s="64">
        <v>150</v>
      </c>
      <c r="B158" s="166" t="s">
        <v>84</v>
      </c>
      <c r="C158" s="156" t="s">
        <v>20</v>
      </c>
      <c r="D158" s="167">
        <v>39934</v>
      </c>
      <c r="E158" s="168">
        <v>8</v>
      </c>
      <c r="F158" s="160">
        <f t="shared" ref="F158:F161" si="258">+E158*$C$1</f>
        <v>4266.6400000000003</v>
      </c>
      <c r="G158" s="160">
        <f t="shared" ref="G158:G160" si="259">+BR158</f>
        <v>2509.8000000000002</v>
      </c>
      <c r="H158" s="161">
        <f t="shared" si="248"/>
        <v>6776.4400000000005</v>
      </c>
      <c r="I158" s="162">
        <v>7</v>
      </c>
      <c r="J158" s="88">
        <v>7</v>
      </c>
      <c r="K158" s="212" t="s">
        <v>315</v>
      </c>
      <c r="L158" s="169">
        <v>46508</v>
      </c>
      <c r="M158" s="164"/>
      <c r="N158" s="165" t="str">
        <f t="shared" ref="N158:N166" ca="1" si="260">IF($B$2&lt;L158,"O.K.","A L E R T A ")</f>
        <v>O.K.</v>
      </c>
      <c r="W158" s="1" t="s">
        <v>84</v>
      </c>
      <c r="X158" s="50">
        <v>900</v>
      </c>
      <c r="Y158" s="48">
        <v>127.2</v>
      </c>
      <c r="Z158" s="49">
        <v>150</v>
      </c>
      <c r="AA158" s="49">
        <v>132.6</v>
      </c>
      <c r="AB158" s="49">
        <v>150</v>
      </c>
      <c r="AC158" s="31">
        <v>265.2</v>
      </c>
      <c r="AD158" s="28">
        <f t="shared" ref="AD158:AD162" si="261">+AC158-AB158</f>
        <v>115.19999999999999</v>
      </c>
      <c r="AE158" s="52">
        <f>67.2+78</f>
        <v>145.19999999999999</v>
      </c>
      <c r="AF158" s="52">
        <f>+(54)+(0)+(0)+(0)+(0)+(54)</f>
        <v>108</v>
      </c>
      <c r="AG158" s="49">
        <v>150</v>
      </c>
      <c r="AH158" s="22">
        <f t="shared" ref="AH158:AH162" si="262">+AD158+(AE158+AF158)-AG158</f>
        <v>218.39999999999998</v>
      </c>
      <c r="AI158" s="52">
        <f t="shared" si="81"/>
        <v>0</v>
      </c>
      <c r="AJ158" s="52">
        <f>+(108)+(78)+(78)+(0)+(0)+(96)</f>
        <v>360</v>
      </c>
      <c r="AK158" s="49">
        <v>150</v>
      </c>
      <c r="AL158" s="31">
        <f t="shared" ref="AL158:AL162" si="263">+AH158+AI158+AJ158-AK158</f>
        <v>428.4</v>
      </c>
      <c r="AM158" s="52">
        <f>+(0)+(0)+(0)+(0)+(0)+(30)</f>
        <v>30</v>
      </c>
      <c r="AN158" s="52">
        <f>+(186)+(54)+(0)+(0)+(0)+(96)</f>
        <v>336</v>
      </c>
      <c r="AO158" s="72">
        <v>150</v>
      </c>
      <c r="AP158" s="74">
        <f t="shared" ref="AP158:AP162" si="264">+AL158+AM158+AN158-AO158</f>
        <v>644.4</v>
      </c>
      <c r="AQ158" s="76">
        <f>+(0)+(0)+(0)+(0)+(54)+(0)</f>
        <v>54</v>
      </c>
      <c r="AR158" s="76">
        <f t="shared" si="83"/>
        <v>0</v>
      </c>
      <c r="AS158" s="74">
        <v>150</v>
      </c>
      <c r="AT158" s="74">
        <f t="shared" ref="AT158:AT162" si="265">+AP158+AQ158+AR158-AS158</f>
        <v>548.4</v>
      </c>
      <c r="AU158" s="73">
        <f t="shared" si="257"/>
        <v>0</v>
      </c>
      <c r="AV158" s="73">
        <f t="shared" ref="AV158:AV406" si="266">+(0)+(0)+(0)+(0)+(0)+(0)+(0)+(0)</f>
        <v>0</v>
      </c>
      <c r="AW158" s="73">
        <v>150</v>
      </c>
      <c r="AX158" s="73">
        <f t="shared" si="245"/>
        <v>398.4</v>
      </c>
      <c r="AY158" s="109">
        <f t="shared" si="241"/>
        <v>0</v>
      </c>
      <c r="AZ158" s="109">
        <f>+(60)+(0)+(78)+(0)+(0)+(0)+(30)+(78)</f>
        <v>246</v>
      </c>
      <c r="BA158" s="61">
        <v>150</v>
      </c>
      <c r="BB158" s="61">
        <f t="shared" si="255"/>
        <v>494.4</v>
      </c>
      <c r="BD158" s="88">
        <v>0</v>
      </c>
      <c r="BE158" s="153">
        <v>78</v>
      </c>
      <c r="BF158" s="88">
        <v>0</v>
      </c>
      <c r="BG158" s="88">
        <v>0</v>
      </c>
      <c r="BH158" s="88">
        <v>0</v>
      </c>
      <c r="BI158" s="88">
        <v>0</v>
      </c>
      <c r="BJ158" s="88">
        <v>0</v>
      </c>
      <c r="BK158" s="88">
        <v>0</v>
      </c>
      <c r="BL158" s="88">
        <v>0</v>
      </c>
      <c r="BM158" s="88">
        <v>0</v>
      </c>
      <c r="BN158" s="88">
        <v>0</v>
      </c>
      <c r="BO158" s="88">
        <v>0</v>
      </c>
      <c r="BP158" s="210">
        <v>150</v>
      </c>
      <c r="BQ158" s="208">
        <f t="shared" si="214"/>
        <v>422.4</v>
      </c>
      <c r="BR158" s="175">
        <f t="shared" si="213"/>
        <v>2509.8000000000002</v>
      </c>
    </row>
    <row r="159" spans="1:70" ht="25.8" thickBot="1" x14ac:dyDescent="0.65">
      <c r="A159" s="64">
        <v>151</v>
      </c>
      <c r="B159" s="112" t="s">
        <v>308</v>
      </c>
      <c r="C159" s="113" t="s">
        <v>21</v>
      </c>
      <c r="D159" s="114">
        <v>43913</v>
      </c>
      <c r="E159" s="115">
        <v>2</v>
      </c>
      <c r="F159" s="116">
        <f t="shared" si="258"/>
        <v>1066.6600000000001</v>
      </c>
      <c r="G159" s="116">
        <f t="shared" si="259"/>
        <v>594</v>
      </c>
      <c r="H159" s="117">
        <f t="shared" si="248"/>
        <v>1660.66</v>
      </c>
      <c r="I159" s="118">
        <v>14</v>
      </c>
      <c r="J159" s="88">
        <v>14</v>
      </c>
      <c r="L159" s="122">
        <v>46104</v>
      </c>
      <c r="M159" s="120"/>
      <c r="N159" s="121" t="str">
        <f t="shared" ca="1" si="260"/>
        <v>O.K.</v>
      </c>
      <c r="W159" s="1" t="s">
        <v>308</v>
      </c>
      <c r="X159" s="50">
        <v>0</v>
      </c>
      <c r="Y159" s="48">
        <v>0</v>
      </c>
      <c r="Z159" s="49">
        <v>0</v>
      </c>
      <c r="AA159" s="49">
        <v>0</v>
      </c>
      <c r="AB159" s="49">
        <v>0</v>
      </c>
      <c r="AC159" s="31">
        <v>0</v>
      </c>
      <c r="AD159" s="28">
        <f t="shared" si="261"/>
        <v>0</v>
      </c>
      <c r="AE159" s="52">
        <v>0</v>
      </c>
      <c r="AF159" s="52">
        <f t="shared" si="240"/>
        <v>0</v>
      </c>
      <c r="AG159" s="49">
        <v>0</v>
      </c>
      <c r="AH159" s="22">
        <f t="shared" si="262"/>
        <v>0</v>
      </c>
      <c r="AI159" s="52">
        <f t="shared" si="81"/>
        <v>0</v>
      </c>
      <c r="AJ159" s="52">
        <f t="shared" si="81"/>
        <v>0</v>
      </c>
      <c r="AK159" s="49">
        <v>0</v>
      </c>
      <c r="AL159" s="31">
        <f t="shared" si="263"/>
        <v>0</v>
      </c>
      <c r="AM159" s="52">
        <f>+(0)+(150)+(0)+(78)+(0)+(0)</f>
        <v>228</v>
      </c>
      <c r="AN159" s="52">
        <f>+(0)+(96)+(0)+(0)+(174)+(0)</f>
        <v>270</v>
      </c>
      <c r="AO159" s="72">
        <v>150</v>
      </c>
      <c r="AP159" s="74">
        <f t="shared" si="264"/>
        <v>348</v>
      </c>
      <c r="AQ159" s="76">
        <f t="shared" si="83"/>
        <v>0</v>
      </c>
      <c r="AR159" s="76">
        <f t="shared" si="83"/>
        <v>0</v>
      </c>
      <c r="AS159" s="74">
        <v>150</v>
      </c>
      <c r="AT159" s="74">
        <f t="shared" si="265"/>
        <v>198</v>
      </c>
      <c r="AU159" s="73">
        <f>+(0)+(0)+(0)+(96)</f>
        <v>96</v>
      </c>
      <c r="AV159" s="73">
        <f t="shared" si="266"/>
        <v>0</v>
      </c>
      <c r="AW159" s="73">
        <v>150</v>
      </c>
      <c r="AX159" s="73">
        <f t="shared" si="245"/>
        <v>144</v>
      </c>
      <c r="AY159" s="109">
        <f t="shared" si="241"/>
        <v>0</v>
      </c>
      <c r="AZ159" s="109">
        <f t="shared" si="244"/>
        <v>0</v>
      </c>
      <c r="BA159" s="61">
        <v>144</v>
      </c>
      <c r="BB159" s="61">
        <f t="shared" si="255"/>
        <v>0</v>
      </c>
      <c r="BD159" s="88">
        <v>0</v>
      </c>
      <c r="BE159" s="88">
        <v>0</v>
      </c>
      <c r="BF159" s="88">
        <v>0</v>
      </c>
      <c r="BG159" s="88">
        <v>0</v>
      </c>
      <c r="BH159" s="88">
        <v>0</v>
      </c>
      <c r="BI159" s="88">
        <v>0</v>
      </c>
      <c r="BJ159" s="88">
        <v>0</v>
      </c>
      <c r="BK159" s="88">
        <v>0</v>
      </c>
      <c r="BL159" s="88">
        <v>0</v>
      </c>
      <c r="BM159" s="88">
        <v>0</v>
      </c>
      <c r="BN159" s="88">
        <v>0</v>
      </c>
      <c r="BO159" s="88">
        <v>0</v>
      </c>
      <c r="BP159" s="210">
        <v>0</v>
      </c>
      <c r="BQ159" s="208">
        <f t="shared" si="214"/>
        <v>0</v>
      </c>
      <c r="BR159" s="175">
        <f t="shared" si="213"/>
        <v>594</v>
      </c>
    </row>
    <row r="160" spans="1:70" ht="25.8" thickBot="1" x14ac:dyDescent="0.65">
      <c r="A160" s="64">
        <v>152</v>
      </c>
      <c r="B160" s="112" t="s">
        <v>230</v>
      </c>
      <c r="C160" s="113" t="s">
        <v>20</v>
      </c>
      <c r="D160" s="123">
        <v>42552</v>
      </c>
      <c r="E160" s="115">
        <v>4</v>
      </c>
      <c r="F160" s="116">
        <f t="shared" si="258"/>
        <v>2133.3200000000002</v>
      </c>
      <c r="G160" s="116">
        <f t="shared" si="259"/>
        <v>1554</v>
      </c>
      <c r="H160" s="117">
        <f t="shared" si="248"/>
        <v>3687.32</v>
      </c>
      <c r="I160" s="118">
        <v>11</v>
      </c>
      <c r="J160" s="88">
        <v>11</v>
      </c>
      <c r="L160" s="122">
        <v>46204</v>
      </c>
      <c r="M160" s="120"/>
      <c r="N160" s="121" t="str">
        <f t="shared" ca="1" si="260"/>
        <v>O.K.</v>
      </c>
      <c r="W160" s="1" t="s">
        <v>230</v>
      </c>
      <c r="X160" s="50">
        <v>0</v>
      </c>
      <c r="Y160" s="48">
        <v>96</v>
      </c>
      <c r="Z160" s="49">
        <v>108</v>
      </c>
      <c r="AA160" s="49">
        <v>150</v>
      </c>
      <c r="AB160" s="49">
        <v>150</v>
      </c>
      <c r="AC160" s="31">
        <v>408.6</v>
      </c>
      <c r="AD160" s="28">
        <f t="shared" si="261"/>
        <v>258.60000000000002</v>
      </c>
      <c r="AE160" s="52">
        <v>78</v>
      </c>
      <c r="AF160" s="52">
        <f>+(0)+(0)+(0)+(0)+(0)+(54)</f>
        <v>54</v>
      </c>
      <c r="AG160" s="49">
        <v>150</v>
      </c>
      <c r="AH160" s="22">
        <f t="shared" si="262"/>
        <v>240.60000000000002</v>
      </c>
      <c r="AI160" s="52">
        <f t="shared" si="81"/>
        <v>0</v>
      </c>
      <c r="AJ160" s="52">
        <f t="shared" si="81"/>
        <v>0</v>
      </c>
      <c r="AK160" s="49">
        <v>150</v>
      </c>
      <c r="AL160" s="31">
        <f t="shared" si="263"/>
        <v>90.600000000000023</v>
      </c>
      <c r="AM160" s="52">
        <f>+(0)+(0)+(0)+(54.6)+(0)+(204)</f>
        <v>258.60000000000002</v>
      </c>
      <c r="AN160" s="52">
        <f>+(0)+(252)+(0)+(0)+(0)+(163.2)</f>
        <v>415.2</v>
      </c>
      <c r="AO160" s="72">
        <v>150</v>
      </c>
      <c r="AP160" s="74">
        <f t="shared" si="264"/>
        <v>614.40000000000009</v>
      </c>
      <c r="AQ160" s="76">
        <f>+(108)+(0)+(0)+(78)+(54)+(0)</f>
        <v>240</v>
      </c>
      <c r="AR160" s="76">
        <f t="shared" si="83"/>
        <v>0</v>
      </c>
      <c r="AS160" s="74">
        <v>150</v>
      </c>
      <c r="AT160" s="74">
        <f t="shared" si="265"/>
        <v>704.40000000000009</v>
      </c>
      <c r="AU160" s="73">
        <f>+(0)+(0)+(0)+(216)</f>
        <v>216</v>
      </c>
      <c r="AV160" s="73">
        <f>+(30)+(0)+(0)+(0)+(0)+(0)+(0)+(0)</f>
        <v>30</v>
      </c>
      <c r="AW160" s="73">
        <v>150</v>
      </c>
      <c r="AX160" s="73">
        <f t="shared" si="245"/>
        <v>800.40000000000009</v>
      </c>
      <c r="AY160" s="109">
        <f>+(0)+(0)+(120)+(0)</f>
        <v>120</v>
      </c>
      <c r="AZ160" s="109">
        <f>+(0)+(0)+(0)+(0)+(54)+(0)+(0)+(0)</f>
        <v>54</v>
      </c>
      <c r="BA160" s="61">
        <v>150</v>
      </c>
      <c r="BB160" s="61">
        <f t="shared" si="255"/>
        <v>824.40000000000009</v>
      </c>
      <c r="BD160" s="88">
        <v>0</v>
      </c>
      <c r="BE160" s="88">
        <v>0</v>
      </c>
      <c r="BF160" s="88">
        <v>0</v>
      </c>
      <c r="BG160" s="88">
        <v>0</v>
      </c>
      <c r="BH160" s="88">
        <v>0</v>
      </c>
      <c r="BI160" s="88">
        <v>0</v>
      </c>
      <c r="BJ160" s="88">
        <v>0</v>
      </c>
      <c r="BK160" s="88">
        <v>0</v>
      </c>
      <c r="BL160" s="88">
        <v>0</v>
      </c>
      <c r="BM160" s="88">
        <v>0</v>
      </c>
      <c r="BN160" s="88">
        <v>0</v>
      </c>
      <c r="BO160" s="88">
        <v>0</v>
      </c>
      <c r="BP160" s="210">
        <v>150</v>
      </c>
      <c r="BQ160" s="208">
        <f t="shared" si="214"/>
        <v>674.40000000000009</v>
      </c>
      <c r="BR160" s="175">
        <f t="shared" si="213"/>
        <v>1554</v>
      </c>
    </row>
    <row r="161" spans="1:70" ht="25.8" thickBot="1" x14ac:dyDescent="0.65">
      <c r="A161" s="64">
        <v>153</v>
      </c>
      <c r="B161" s="112" t="s">
        <v>219</v>
      </c>
      <c r="C161" s="113" t="s">
        <v>20</v>
      </c>
      <c r="D161" s="114">
        <v>42736</v>
      </c>
      <c r="E161" s="116">
        <v>4</v>
      </c>
      <c r="F161" s="116">
        <f t="shared" si="258"/>
        <v>2133.3200000000002</v>
      </c>
      <c r="G161" s="116">
        <f t="shared" ref="G161:G162" si="267">+BR161</f>
        <v>1446</v>
      </c>
      <c r="H161" s="117">
        <f t="shared" si="248"/>
        <v>3579.32</v>
      </c>
      <c r="I161" s="118">
        <v>11</v>
      </c>
      <c r="J161" s="21">
        <v>11</v>
      </c>
      <c r="L161" s="133">
        <v>46035</v>
      </c>
      <c r="M161" s="129"/>
      <c r="N161" s="121" t="str">
        <f t="shared" ca="1" si="260"/>
        <v>O.K.</v>
      </c>
      <c r="W161" s="1" t="s">
        <v>219</v>
      </c>
      <c r="X161" s="48">
        <v>0</v>
      </c>
      <c r="Y161" s="48">
        <v>0</v>
      </c>
      <c r="Z161" s="49">
        <v>96</v>
      </c>
      <c r="AA161" s="49">
        <v>150</v>
      </c>
      <c r="AB161" s="49">
        <v>150</v>
      </c>
      <c r="AC161" s="31">
        <v>613.5</v>
      </c>
      <c r="AD161" s="28">
        <f t="shared" si="261"/>
        <v>463.5</v>
      </c>
      <c r="AE161" s="52">
        <v>132</v>
      </c>
      <c r="AF161" s="52">
        <f>+(0)+(108)+(30)+(108)+(0)+(199.8)</f>
        <v>445.8</v>
      </c>
      <c r="AG161" s="49">
        <v>150</v>
      </c>
      <c r="AH161" s="22">
        <f t="shared" si="262"/>
        <v>891.3</v>
      </c>
      <c r="AI161" s="52">
        <f t="shared" si="81"/>
        <v>0</v>
      </c>
      <c r="AJ161" s="52">
        <f>+(0)+(0)+(0)+(0)+(0)+(264)</f>
        <v>264</v>
      </c>
      <c r="AK161" s="49">
        <v>150</v>
      </c>
      <c r="AL161" s="31">
        <f t="shared" si="263"/>
        <v>1005.3</v>
      </c>
      <c r="AM161" s="52">
        <f>+(0)+(0)+(0)+(78)+(0)+(0)</f>
        <v>78</v>
      </c>
      <c r="AN161" s="52">
        <f t="shared" ref="AN161" si="268">+(0)+(0)+(0)+(0)+(0)+(0)</f>
        <v>0</v>
      </c>
      <c r="AO161" s="85">
        <v>150</v>
      </c>
      <c r="AP161" s="174">
        <f t="shared" si="264"/>
        <v>933.3</v>
      </c>
      <c r="AQ161" s="76">
        <f t="shared" ref="AQ161:AR161" si="269">+(0)+(0)+(0)+(0)+(0)+(0)</f>
        <v>0</v>
      </c>
      <c r="AR161" s="76">
        <f t="shared" si="269"/>
        <v>0</v>
      </c>
      <c r="AS161" s="74">
        <v>150</v>
      </c>
      <c r="AT161" s="174">
        <f t="shared" si="265"/>
        <v>783.3</v>
      </c>
      <c r="AU161" s="31">
        <f>+(0)+(0)+(108)+(0)</f>
        <v>108</v>
      </c>
      <c r="AV161" s="31">
        <f t="shared" ref="AV161" si="270">+(0)+(0)+(0)+(0)+(0)+(0)+(0)+(0)</f>
        <v>0</v>
      </c>
      <c r="AW161" s="31">
        <v>150</v>
      </c>
      <c r="AX161" s="31">
        <f t="shared" si="245"/>
        <v>741.3</v>
      </c>
      <c r="AY161" s="109">
        <f t="shared" si="241"/>
        <v>0</v>
      </c>
      <c r="AZ161" s="109">
        <f t="shared" si="244"/>
        <v>0</v>
      </c>
      <c r="BA161" s="61">
        <v>150</v>
      </c>
      <c r="BB161" s="61">
        <f t="shared" si="255"/>
        <v>591.29999999999995</v>
      </c>
      <c r="BD161" s="88">
        <v>0</v>
      </c>
      <c r="BE161" s="153">
        <v>21</v>
      </c>
      <c r="BF161" s="88">
        <v>0</v>
      </c>
      <c r="BG161" s="88">
        <v>0</v>
      </c>
      <c r="BH161" s="88">
        <v>0</v>
      </c>
      <c r="BI161" s="88">
        <v>0</v>
      </c>
      <c r="BJ161" s="88">
        <v>0</v>
      </c>
      <c r="BK161" s="88">
        <v>0</v>
      </c>
      <c r="BL161" s="88">
        <v>0</v>
      </c>
      <c r="BM161" s="88">
        <v>0</v>
      </c>
      <c r="BN161" s="88">
        <v>0</v>
      </c>
      <c r="BO161" s="88">
        <v>0</v>
      </c>
      <c r="BP161" s="210">
        <v>150</v>
      </c>
      <c r="BQ161" s="208">
        <f t="shared" si="214"/>
        <v>462.29999999999995</v>
      </c>
      <c r="BR161" s="175">
        <f t="shared" si="213"/>
        <v>1446</v>
      </c>
    </row>
    <row r="162" spans="1:70" ht="25.8" thickBot="1" x14ac:dyDescent="0.65">
      <c r="A162" s="64">
        <v>154</v>
      </c>
      <c r="B162" s="112" t="s">
        <v>408</v>
      </c>
      <c r="C162" s="113" t="s">
        <v>23</v>
      </c>
      <c r="D162" s="114">
        <v>45145</v>
      </c>
      <c r="E162" s="115">
        <v>1</v>
      </c>
      <c r="F162" s="116">
        <f t="shared" ref="F162:F163" si="271">+E162*$C$1</f>
        <v>533.33000000000004</v>
      </c>
      <c r="G162" s="116">
        <f t="shared" si="267"/>
        <v>766.2</v>
      </c>
      <c r="H162" s="117">
        <f t="shared" ref="H162" si="272">+F162+G162</f>
        <v>1299.5300000000002</v>
      </c>
      <c r="I162" s="118">
        <v>14</v>
      </c>
      <c r="J162" s="88">
        <v>14</v>
      </c>
      <c r="L162" s="122">
        <v>46113</v>
      </c>
      <c r="M162" s="120"/>
      <c r="N162" s="121" t="str">
        <f t="shared" ca="1" si="260"/>
        <v>O.K.</v>
      </c>
      <c r="W162" s="1" t="s">
        <v>408</v>
      </c>
      <c r="X162" s="68">
        <v>406.2</v>
      </c>
      <c r="Y162" s="48">
        <v>0</v>
      </c>
      <c r="Z162" s="49">
        <v>0</v>
      </c>
      <c r="AA162" s="49">
        <v>0</v>
      </c>
      <c r="AB162" s="49">
        <v>0</v>
      </c>
      <c r="AC162" s="31">
        <v>0</v>
      </c>
      <c r="AD162" s="28">
        <f t="shared" si="261"/>
        <v>0</v>
      </c>
      <c r="AE162" s="52">
        <v>0</v>
      </c>
      <c r="AF162" s="52">
        <v>0</v>
      </c>
      <c r="AG162" s="49">
        <v>0</v>
      </c>
      <c r="AH162" s="22">
        <f t="shared" si="262"/>
        <v>0</v>
      </c>
      <c r="AI162" s="52">
        <v>0</v>
      </c>
      <c r="AJ162" s="52">
        <v>0</v>
      </c>
      <c r="AK162" s="49">
        <v>0</v>
      </c>
      <c r="AL162" s="69">
        <f t="shared" si="263"/>
        <v>0</v>
      </c>
      <c r="AM162" s="52">
        <v>0</v>
      </c>
      <c r="AN162" s="52">
        <v>0</v>
      </c>
      <c r="AO162" s="72">
        <v>0</v>
      </c>
      <c r="AP162" s="74">
        <f t="shared" si="264"/>
        <v>0</v>
      </c>
      <c r="AQ162" s="76">
        <f t="shared" si="83"/>
        <v>0</v>
      </c>
      <c r="AR162" s="76">
        <f t="shared" si="83"/>
        <v>0</v>
      </c>
      <c r="AS162" s="74">
        <v>0</v>
      </c>
      <c r="AT162" s="74">
        <f t="shared" si="265"/>
        <v>0</v>
      </c>
      <c r="AU162" s="73">
        <f>+(0)+(0)+(120)+(0)</f>
        <v>120</v>
      </c>
      <c r="AV162" s="73">
        <f>+(0)+(0)+(0)+(31.2)+(0)+(0)+(0)+(0)</f>
        <v>31.2</v>
      </c>
      <c r="AW162" s="73">
        <v>120</v>
      </c>
      <c r="AX162" s="73">
        <f t="shared" si="245"/>
        <v>31.199999999999989</v>
      </c>
      <c r="AY162" s="109">
        <f t="shared" si="241"/>
        <v>0</v>
      </c>
      <c r="AZ162" s="109">
        <f>+(0)+(0)+(0)+(216)+(78)+(0)+(0)+(78)</f>
        <v>372</v>
      </c>
      <c r="BA162" s="61">
        <v>120</v>
      </c>
      <c r="BB162" s="61">
        <f t="shared" si="255"/>
        <v>283.2</v>
      </c>
      <c r="BD162" s="88">
        <v>0</v>
      </c>
      <c r="BE162" s="153">
        <v>78</v>
      </c>
      <c r="BF162" s="88">
        <v>0</v>
      </c>
      <c r="BG162" s="88">
        <v>0</v>
      </c>
      <c r="BH162" s="88">
        <v>0</v>
      </c>
      <c r="BI162" s="88">
        <v>0</v>
      </c>
      <c r="BJ162" s="88">
        <v>0</v>
      </c>
      <c r="BK162" s="88">
        <v>0</v>
      </c>
      <c r="BL162" s="88">
        <v>0</v>
      </c>
      <c r="BM162" s="88">
        <v>0</v>
      </c>
      <c r="BN162" s="88">
        <v>0</v>
      </c>
      <c r="BO162" s="88">
        <v>0</v>
      </c>
      <c r="BP162" s="210">
        <v>120</v>
      </c>
      <c r="BQ162" s="208">
        <f t="shared" si="214"/>
        <v>241.2</v>
      </c>
      <c r="BR162" s="175">
        <f t="shared" si="213"/>
        <v>766.2</v>
      </c>
    </row>
    <row r="163" spans="1:70" ht="25.8" thickBot="1" x14ac:dyDescent="0.65">
      <c r="A163" s="64">
        <v>155</v>
      </c>
      <c r="B163" s="112" t="s">
        <v>463</v>
      </c>
      <c r="C163" s="113" t="s">
        <v>19</v>
      </c>
      <c r="D163" s="114">
        <v>45624</v>
      </c>
      <c r="E163" s="115">
        <v>0</v>
      </c>
      <c r="F163" s="116">
        <f t="shared" si="271"/>
        <v>0</v>
      </c>
      <c r="G163" s="116">
        <f t="shared" ref="G163" si="273">+BR163</f>
        <v>138</v>
      </c>
      <c r="H163" s="117">
        <f t="shared" ref="H163" si="274">+F163+G163</f>
        <v>138</v>
      </c>
      <c r="I163" s="118">
        <v>15</v>
      </c>
      <c r="J163" s="88">
        <v>15</v>
      </c>
      <c r="L163" s="122">
        <v>46354</v>
      </c>
      <c r="M163" s="120"/>
      <c r="N163" s="121" t="str">
        <f t="shared" ca="1" si="260"/>
        <v>O.K.</v>
      </c>
      <c r="W163" s="1" t="s">
        <v>463</v>
      </c>
      <c r="X163" s="50">
        <v>0</v>
      </c>
      <c r="Y163" s="48"/>
      <c r="Z163" s="49"/>
      <c r="AA163" s="49"/>
      <c r="AB163" s="49"/>
      <c r="AC163" s="31"/>
      <c r="AD163" s="28"/>
      <c r="AE163" s="52"/>
      <c r="AF163" s="52"/>
      <c r="AG163" s="49"/>
      <c r="AH163" s="22"/>
      <c r="AI163" s="52"/>
      <c r="AJ163" s="52"/>
      <c r="AK163" s="49"/>
      <c r="AL163" s="69"/>
      <c r="AM163" s="52"/>
      <c r="AN163" s="52"/>
      <c r="AO163" s="72"/>
      <c r="AP163" s="74"/>
      <c r="AQ163" s="76"/>
      <c r="AR163" s="76"/>
      <c r="AS163" s="74"/>
      <c r="AT163" s="74"/>
      <c r="AU163" s="73"/>
      <c r="AV163" s="73"/>
      <c r="AW163" s="73"/>
      <c r="AX163" s="73"/>
      <c r="AY163" s="109">
        <f t="shared" si="241"/>
        <v>0</v>
      </c>
      <c r="AZ163" s="109">
        <f>+(0)+(0)+(0)+(108)+(0)+(0)+(0)+(30)</f>
        <v>138</v>
      </c>
      <c r="BA163" s="61">
        <v>120</v>
      </c>
      <c r="BB163" s="61">
        <f t="shared" ref="BB163" si="275">(AX163+AY163+AZ163)-BA163</f>
        <v>18</v>
      </c>
      <c r="BD163" s="88">
        <v>0</v>
      </c>
      <c r="BE163" s="88">
        <v>0</v>
      </c>
      <c r="BF163" s="88">
        <v>0</v>
      </c>
      <c r="BG163" s="88">
        <v>0</v>
      </c>
      <c r="BH163" s="88">
        <v>0</v>
      </c>
      <c r="BI163" s="88">
        <v>0</v>
      </c>
      <c r="BJ163" s="88">
        <v>0</v>
      </c>
      <c r="BK163" s="88">
        <v>0</v>
      </c>
      <c r="BL163" s="88">
        <v>0</v>
      </c>
      <c r="BM163" s="88">
        <v>0</v>
      </c>
      <c r="BN163" s="88">
        <v>0</v>
      </c>
      <c r="BO163" s="88">
        <v>0</v>
      </c>
      <c r="BP163" s="210">
        <v>18</v>
      </c>
      <c r="BQ163" s="208">
        <f t="shared" si="214"/>
        <v>0</v>
      </c>
      <c r="BR163" s="175">
        <f t="shared" si="213"/>
        <v>138</v>
      </c>
    </row>
    <row r="164" spans="1:70" ht="25.8" thickBot="1" x14ac:dyDescent="0.65">
      <c r="A164" s="64">
        <v>156</v>
      </c>
      <c r="B164" s="112" t="s">
        <v>250</v>
      </c>
      <c r="C164" s="113" t="s">
        <v>20</v>
      </c>
      <c r="D164" s="114">
        <v>43206</v>
      </c>
      <c r="E164" s="115">
        <v>3</v>
      </c>
      <c r="F164" s="116">
        <f t="shared" ref="F164:F198" si="276">+E164*$C$1</f>
        <v>1599.9900000000002</v>
      </c>
      <c r="G164" s="116">
        <f>+BR164</f>
        <v>858</v>
      </c>
      <c r="H164" s="117">
        <f t="shared" ref="H164:H197" si="277">+F164+G164</f>
        <v>2457.9900000000002</v>
      </c>
      <c r="I164" s="118">
        <v>13</v>
      </c>
      <c r="J164" s="88">
        <v>13</v>
      </c>
      <c r="L164" s="122">
        <v>46128</v>
      </c>
      <c r="M164" s="120"/>
      <c r="N164" s="121" t="str">
        <f t="shared" ca="1" si="260"/>
        <v>O.K.</v>
      </c>
      <c r="W164" s="1" t="s">
        <v>250</v>
      </c>
      <c r="X164" s="50">
        <v>0</v>
      </c>
      <c r="Y164" s="48">
        <v>0</v>
      </c>
      <c r="Z164" s="49">
        <v>0</v>
      </c>
      <c r="AA164" s="49">
        <v>96</v>
      </c>
      <c r="AB164" s="49">
        <v>0</v>
      </c>
      <c r="AC164" s="31">
        <v>0</v>
      </c>
      <c r="AD164" s="28">
        <f t="shared" ref="AD164:AD200" si="278">+AC164-AB164</f>
        <v>0</v>
      </c>
      <c r="AE164" s="52">
        <v>108</v>
      </c>
      <c r="AF164" s="52">
        <f>+(0)+(0)+(0)+(0)+(0)+(162)</f>
        <v>162</v>
      </c>
      <c r="AG164" s="49">
        <v>150</v>
      </c>
      <c r="AH164" s="22">
        <f t="shared" ref="AH164:AH176" si="279">+AD164+(AE164+AF164)-AG164</f>
        <v>120</v>
      </c>
      <c r="AI164" s="52">
        <f>+(0)+(0)+(0)+(0)+(0)+(156)</f>
        <v>156</v>
      </c>
      <c r="AJ164" s="52">
        <f>+(78)+(0)+(0)+(0)+(0)+(0)</f>
        <v>78</v>
      </c>
      <c r="AK164" s="49">
        <v>150</v>
      </c>
      <c r="AL164" s="31">
        <f t="shared" ref="AL164:AL178" si="280">+AH164+AI164+AJ164-AK164</f>
        <v>204</v>
      </c>
      <c r="AM164" s="52">
        <f t="shared" si="82"/>
        <v>0</v>
      </c>
      <c r="AN164" s="52">
        <f>+(0)+(108)+(0)+(0)+(0)+(0)</f>
        <v>108</v>
      </c>
      <c r="AO164" s="72">
        <v>150</v>
      </c>
      <c r="AP164" s="74">
        <f t="shared" ref="AP164:AP170" si="281">+AL164+AM164+AN164-AO164</f>
        <v>162</v>
      </c>
      <c r="AQ164" s="76">
        <f>+(0)+(54)+(0)+(0)+(0)+(0)</f>
        <v>54</v>
      </c>
      <c r="AR164" s="76">
        <f t="shared" si="83"/>
        <v>0</v>
      </c>
      <c r="AS164" s="74">
        <v>150</v>
      </c>
      <c r="AT164" s="74">
        <f t="shared" ref="AT164:AT170" si="282">+AP164+AQ164+AR164-AS164</f>
        <v>66</v>
      </c>
      <c r="AU164" s="73">
        <f t="shared" si="257"/>
        <v>0</v>
      </c>
      <c r="AV164" s="73">
        <f>+(0)+(0)+(96)+(0)+(0)+(0)+(0)+(0)</f>
        <v>96</v>
      </c>
      <c r="AW164" s="73">
        <v>150</v>
      </c>
      <c r="AX164" s="73">
        <f t="shared" si="245"/>
        <v>12</v>
      </c>
      <c r="AY164" s="109">
        <f t="shared" si="241"/>
        <v>0</v>
      </c>
      <c r="AZ164" s="109">
        <f t="shared" si="244"/>
        <v>0</v>
      </c>
      <c r="BA164" s="61">
        <v>12</v>
      </c>
      <c r="BB164" s="61">
        <f t="shared" si="255"/>
        <v>0</v>
      </c>
      <c r="BD164" s="88">
        <v>0</v>
      </c>
      <c r="BE164" s="88">
        <v>0</v>
      </c>
      <c r="BF164" s="88">
        <v>0</v>
      </c>
      <c r="BG164" s="88">
        <v>0</v>
      </c>
      <c r="BH164" s="88">
        <v>0</v>
      </c>
      <c r="BI164" s="88">
        <v>0</v>
      </c>
      <c r="BJ164" s="88">
        <v>0</v>
      </c>
      <c r="BK164" s="88">
        <v>0</v>
      </c>
      <c r="BL164" s="88">
        <v>0</v>
      </c>
      <c r="BM164" s="88">
        <v>0</v>
      </c>
      <c r="BN164" s="88">
        <v>0</v>
      </c>
      <c r="BO164" s="88">
        <v>0</v>
      </c>
      <c r="BP164" s="210">
        <v>0</v>
      </c>
      <c r="BQ164" s="208">
        <f t="shared" si="214"/>
        <v>0</v>
      </c>
      <c r="BR164" s="175">
        <f t="shared" si="213"/>
        <v>858</v>
      </c>
    </row>
    <row r="165" spans="1:70" ht="25.8" thickBot="1" x14ac:dyDescent="0.65">
      <c r="A165" s="64">
        <v>157</v>
      </c>
      <c r="B165" s="166" t="s">
        <v>478</v>
      </c>
      <c r="C165" s="156" t="s">
        <v>20</v>
      </c>
      <c r="D165" s="167">
        <v>45698</v>
      </c>
      <c r="E165" s="168">
        <v>0</v>
      </c>
      <c r="F165" s="160">
        <f t="shared" si="276"/>
        <v>0</v>
      </c>
      <c r="G165" s="160">
        <f>+BR165</f>
        <v>300</v>
      </c>
      <c r="H165" s="161">
        <f t="shared" ref="H165" si="283">+F165+G165</f>
        <v>300</v>
      </c>
      <c r="I165" s="162">
        <v>15</v>
      </c>
      <c r="J165" s="88">
        <v>15</v>
      </c>
      <c r="L165" s="169">
        <v>46428</v>
      </c>
      <c r="M165" s="164"/>
      <c r="N165" s="165" t="str">
        <f t="shared" ca="1" si="260"/>
        <v>O.K.</v>
      </c>
      <c r="W165" s="1" t="s">
        <v>478</v>
      </c>
      <c r="X165" s="50"/>
      <c r="Y165" s="48"/>
      <c r="Z165" s="49"/>
      <c r="AA165" s="49"/>
      <c r="AB165" s="49"/>
      <c r="AC165" s="31"/>
      <c r="AD165" s="28"/>
      <c r="AE165" s="52"/>
      <c r="AF165" s="52"/>
      <c r="AG165" s="49"/>
      <c r="AH165" s="22"/>
      <c r="AI165" s="52"/>
      <c r="AJ165" s="52"/>
      <c r="AK165" s="49"/>
      <c r="AL165" s="31"/>
      <c r="AM165" s="52"/>
      <c r="AN165" s="52"/>
      <c r="AO165" s="72"/>
      <c r="AP165" s="74"/>
      <c r="AQ165" s="76"/>
      <c r="AR165" s="76"/>
      <c r="AS165" s="74"/>
      <c r="AT165" s="74"/>
      <c r="AU165" s="73"/>
      <c r="AV165" s="73"/>
      <c r="AW165" s="73"/>
      <c r="AX165" s="73"/>
      <c r="AY165" s="109">
        <f t="shared" si="241"/>
        <v>0</v>
      </c>
      <c r="AZ165" s="109">
        <f>+(0)+(0)+(0)+(0)+(0)+(0)+(0)+(666)</f>
        <v>666</v>
      </c>
      <c r="BA165" s="61">
        <v>150</v>
      </c>
      <c r="BB165" s="61">
        <f t="shared" si="255"/>
        <v>516</v>
      </c>
      <c r="BD165" s="153">
        <v>78</v>
      </c>
      <c r="BE165" s="88">
        <v>0</v>
      </c>
      <c r="BF165" s="88">
        <v>0</v>
      </c>
      <c r="BG165" s="88">
        <v>0</v>
      </c>
      <c r="BH165" s="88">
        <v>0</v>
      </c>
      <c r="BI165" s="88">
        <v>0</v>
      </c>
      <c r="BJ165" s="88">
        <v>0</v>
      </c>
      <c r="BK165" s="88">
        <v>0</v>
      </c>
      <c r="BL165" s="88">
        <v>0</v>
      </c>
      <c r="BM165" s="88">
        <v>0</v>
      </c>
      <c r="BN165" s="88">
        <v>0</v>
      </c>
      <c r="BO165" s="88">
        <v>0</v>
      </c>
      <c r="BP165" s="210">
        <v>150</v>
      </c>
      <c r="BQ165" s="208">
        <f t="shared" si="214"/>
        <v>444</v>
      </c>
      <c r="BR165" s="175">
        <f t="shared" si="213"/>
        <v>300</v>
      </c>
    </row>
    <row r="166" spans="1:70" ht="25.8" thickBot="1" x14ac:dyDescent="0.65">
      <c r="A166" s="64">
        <v>158</v>
      </c>
      <c r="B166" s="166" t="s">
        <v>289</v>
      </c>
      <c r="C166" s="156" t="s">
        <v>23</v>
      </c>
      <c r="D166" s="167">
        <v>43466</v>
      </c>
      <c r="E166" s="168">
        <v>3</v>
      </c>
      <c r="F166" s="160">
        <f t="shared" si="276"/>
        <v>1599.9900000000002</v>
      </c>
      <c r="G166" s="160">
        <f>+BR166</f>
        <v>960</v>
      </c>
      <c r="H166" s="161">
        <f t="shared" si="277"/>
        <v>2559.9900000000002</v>
      </c>
      <c r="I166" s="162">
        <v>12</v>
      </c>
      <c r="J166" s="88">
        <v>12</v>
      </c>
      <c r="L166" s="169">
        <v>46388</v>
      </c>
      <c r="M166" s="164"/>
      <c r="N166" s="165" t="str">
        <f t="shared" ca="1" si="260"/>
        <v>O.K.</v>
      </c>
      <c r="W166" s="1" t="s">
        <v>289</v>
      </c>
      <c r="X166" s="50">
        <v>0</v>
      </c>
      <c r="Y166" s="48">
        <v>0</v>
      </c>
      <c r="Z166" s="49">
        <v>0</v>
      </c>
      <c r="AA166" s="49">
        <v>0</v>
      </c>
      <c r="AB166" s="49">
        <v>120</v>
      </c>
      <c r="AC166" s="31">
        <v>156</v>
      </c>
      <c r="AD166" s="28">
        <f t="shared" si="278"/>
        <v>36</v>
      </c>
      <c r="AE166" s="52">
        <v>132</v>
      </c>
      <c r="AF166" s="52">
        <f>+(0)+(0)+(0)+(0)+(0)+(162)</f>
        <v>162</v>
      </c>
      <c r="AG166" s="49">
        <v>120</v>
      </c>
      <c r="AH166" s="22">
        <f t="shared" si="279"/>
        <v>210</v>
      </c>
      <c r="AI166" s="52">
        <f t="shared" si="81"/>
        <v>0</v>
      </c>
      <c r="AJ166" s="52">
        <f>+(78)+(0)+(0)+(0)+(0)+(0)</f>
        <v>78</v>
      </c>
      <c r="AK166" s="49">
        <v>120</v>
      </c>
      <c r="AL166" s="31">
        <f t="shared" si="280"/>
        <v>168</v>
      </c>
      <c r="AM166" s="52">
        <f t="shared" si="82"/>
        <v>0</v>
      </c>
      <c r="AN166" s="52">
        <f>+(0)+(0)+(0)+(0)+(0)+(108)</f>
        <v>108</v>
      </c>
      <c r="AO166" s="72">
        <v>120</v>
      </c>
      <c r="AP166" s="74">
        <f t="shared" si="281"/>
        <v>156</v>
      </c>
      <c r="AQ166" s="76">
        <f>+(0)+(0)+(0)+(0)+(54)+(0)</f>
        <v>54</v>
      </c>
      <c r="AR166" s="76">
        <f t="shared" si="83"/>
        <v>0</v>
      </c>
      <c r="AS166" s="74">
        <v>120</v>
      </c>
      <c r="AT166" s="74">
        <f t="shared" si="282"/>
        <v>90</v>
      </c>
      <c r="AU166" s="73">
        <f t="shared" si="257"/>
        <v>0</v>
      </c>
      <c r="AV166" s="73">
        <f>+(0)+(0)+(96)+(0)+(0)+(0)+(0)+(0)</f>
        <v>96</v>
      </c>
      <c r="AW166" s="73">
        <v>120</v>
      </c>
      <c r="AX166" s="73">
        <f t="shared" si="245"/>
        <v>66</v>
      </c>
      <c r="AY166" s="109">
        <f t="shared" si="241"/>
        <v>0</v>
      </c>
      <c r="AZ166" s="109">
        <f>+(0)+(0)+(0)+(0)+(30)+(0)+(342)+(78)</f>
        <v>450</v>
      </c>
      <c r="BA166" s="61">
        <v>120</v>
      </c>
      <c r="BB166" s="61">
        <f t="shared" si="255"/>
        <v>396</v>
      </c>
      <c r="BD166" s="153">
        <v>78</v>
      </c>
      <c r="BE166" s="88">
        <v>0</v>
      </c>
      <c r="BF166" s="88">
        <v>0</v>
      </c>
      <c r="BG166" s="88">
        <v>0</v>
      </c>
      <c r="BH166" s="88">
        <v>0</v>
      </c>
      <c r="BI166" s="88">
        <v>0</v>
      </c>
      <c r="BJ166" s="88">
        <v>0</v>
      </c>
      <c r="BK166" s="88">
        <v>0</v>
      </c>
      <c r="BL166" s="88">
        <v>0</v>
      </c>
      <c r="BM166" s="88">
        <v>0</v>
      </c>
      <c r="BN166" s="88">
        <v>0</v>
      </c>
      <c r="BO166" s="88">
        <v>0</v>
      </c>
      <c r="BP166" s="210">
        <v>120</v>
      </c>
      <c r="BQ166" s="208">
        <f t="shared" si="214"/>
        <v>354</v>
      </c>
      <c r="BR166" s="175">
        <f t="shared" si="213"/>
        <v>960</v>
      </c>
    </row>
    <row r="167" spans="1:70" ht="25.8" thickBot="1" x14ac:dyDescent="0.65">
      <c r="A167" s="64">
        <v>159</v>
      </c>
      <c r="B167" s="166" t="s">
        <v>515</v>
      </c>
      <c r="C167" s="156" t="s">
        <v>21</v>
      </c>
      <c r="D167" s="167">
        <v>45922</v>
      </c>
      <c r="E167" s="168">
        <v>0</v>
      </c>
      <c r="F167" s="160">
        <f t="shared" ref="F167" si="284">+E167*$C$1</f>
        <v>0</v>
      </c>
      <c r="G167" s="160">
        <f t="shared" ref="G167" si="285">+BR167</f>
        <v>0</v>
      </c>
      <c r="H167" s="161">
        <f t="shared" ref="H167" si="286">+F167+G167</f>
        <v>0</v>
      </c>
      <c r="I167" s="162">
        <v>15</v>
      </c>
      <c r="J167" s="88">
        <v>15</v>
      </c>
      <c r="L167" s="169">
        <v>46652</v>
      </c>
      <c r="M167" s="164"/>
      <c r="N167" s="165" t="str">
        <f t="shared" ref="N167" ca="1" si="287">IF($B$2&lt;L167,"O.K.","A L E R T A ")</f>
        <v>O.K.</v>
      </c>
      <c r="W167" s="1" t="s">
        <v>515</v>
      </c>
      <c r="X167" s="50"/>
      <c r="Y167" s="48"/>
      <c r="Z167" s="49"/>
      <c r="AA167" s="49"/>
      <c r="AB167" s="49"/>
      <c r="AC167" s="31"/>
      <c r="AD167" s="28"/>
      <c r="AE167" s="52"/>
      <c r="AF167" s="52"/>
      <c r="AG167" s="49"/>
      <c r="AH167" s="22"/>
      <c r="AI167" s="52"/>
      <c r="AJ167" s="52"/>
      <c r="AK167" s="49"/>
      <c r="AL167" s="31"/>
      <c r="AM167" s="52"/>
      <c r="AN167" s="52"/>
      <c r="AO167" s="72"/>
      <c r="AP167" s="74"/>
      <c r="AQ167" s="76"/>
      <c r="AR167" s="76"/>
      <c r="AS167" s="74"/>
      <c r="AT167" s="74"/>
      <c r="AU167" s="73"/>
      <c r="AV167" s="73"/>
      <c r="AW167" s="73"/>
      <c r="AX167" s="73"/>
      <c r="AY167" s="109"/>
      <c r="AZ167" s="109"/>
      <c r="BA167" s="61"/>
      <c r="BB167" s="61"/>
      <c r="BD167" s="88">
        <v>0</v>
      </c>
      <c r="BE167" s="88">
        <v>0</v>
      </c>
      <c r="BF167" s="88">
        <v>0</v>
      </c>
      <c r="BG167" s="88">
        <v>0</v>
      </c>
      <c r="BH167" s="88">
        <v>0</v>
      </c>
      <c r="BI167" s="88">
        <v>0</v>
      </c>
      <c r="BJ167" s="88">
        <v>0</v>
      </c>
      <c r="BK167" s="88">
        <v>0</v>
      </c>
      <c r="BL167" s="88">
        <v>0</v>
      </c>
      <c r="BM167" s="88">
        <v>0</v>
      </c>
      <c r="BN167" s="88">
        <v>0</v>
      </c>
      <c r="BO167" s="88">
        <v>0</v>
      </c>
      <c r="BP167" s="210">
        <v>0</v>
      </c>
      <c r="BQ167" s="208">
        <f t="shared" ref="BQ167" si="288">+BB167+SUM(BD167:BG167)+SUM(BH167:BO167)-BP167</f>
        <v>0</v>
      </c>
      <c r="BR167" s="175">
        <f t="shared" ref="BR167" si="289">SUM(X167:AA167)+AB167+AG167+AK167+AO167+AS167+AW167+BA167+BP167</f>
        <v>0</v>
      </c>
    </row>
    <row r="168" spans="1:70" ht="25.8" thickBot="1" x14ac:dyDescent="0.65">
      <c r="A168" s="64">
        <v>160</v>
      </c>
      <c r="B168" s="166" t="s">
        <v>421</v>
      </c>
      <c r="C168" s="156" t="s">
        <v>20</v>
      </c>
      <c r="D168" s="167">
        <v>45747</v>
      </c>
      <c r="E168" s="168">
        <v>0</v>
      </c>
      <c r="F168" s="160">
        <f t="shared" ref="F168" si="290">+E168*$C$1</f>
        <v>0</v>
      </c>
      <c r="G168" s="160">
        <f t="shared" ref="G168" si="291">+BR168</f>
        <v>0</v>
      </c>
      <c r="H168" s="161">
        <f t="shared" ref="H168" si="292">+F168+G168</f>
        <v>0</v>
      </c>
      <c r="I168" s="162">
        <v>15</v>
      </c>
      <c r="J168" s="88">
        <v>15</v>
      </c>
      <c r="L168" s="169">
        <v>46388</v>
      </c>
      <c r="M168" s="164"/>
      <c r="N168" s="165" t="str">
        <f t="shared" ref="N168:N177" ca="1" si="293">IF($B$2&lt;L168,"O.K.","A L E R T A ")</f>
        <v>O.K.</v>
      </c>
      <c r="W168" s="1" t="s">
        <v>421</v>
      </c>
      <c r="X168" s="50"/>
      <c r="Y168" s="48"/>
      <c r="Z168" s="49"/>
      <c r="AA168" s="49"/>
      <c r="AB168" s="49"/>
      <c r="AC168" s="31"/>
      <c r="AD168" s="28"/>
      <c r="AE168" s="52"/>
      <c r="AF168" s="52"/>
      <c r="AG168" s="49"/>
      <c r="AH168" s="22"/>
      <c r="AI168" s="52"/>
      <c r="AJ168" s="52"/>
      <c r="AK168" s="49"/>
      <c r="AL168" s="31"/>
      <c r="AM168" s="52"/>
      <c r="AN168" s="52"/>
      <c r="AO168" s="72"/>
      <c r="AP168" s="74"/>
      <c r="AQ168" s="76"/>
      <c r="AR168" s="76"/>
      <c r="AS168" s="74"/>
      <c r="AT168" s="74"/>
      <c r="AU168" s="73"/>
      <c r="AV168" s="73"/>
      <c r="AW168" s="73"/>
      <c r="AX168" s="73"/>
      <c r="AY168" s="109">
        <f t="shared" si="241"/>
        <v>0</v>
      </c>
      <c r="AZ168" s="109">
        <f t="shared" si="244"/>
        <v>0</v>
      </c>
      <c r="BA168" s="61">
        <v>0</v>
      </c>
      <c r="BB168" s="61">
        <f t="shared" si="255"/>
        <v>0</v>
      </c>
      <c r="BD168" s="88">
        <v>0</v>
      </c>
      <c r="BE168" s="88">
        <v>0</v>
      </c>
      <c r="BF168" s="88">
        <v>0</v>
      </c>
      <c r="BG168" s="88">
        <v>0</v>
      </c>
      <c r="BH168" s="88">
        <v>0</v>
      </c>
      <c r="BI168" s="88">
        <v>0</v>
      </c>
      <c r="BJ168" s="88">
        <v>0</v>
      </c>
      <c r="BK168" s="88">
        <v>0</v>
      </c>
      <c r="BL168" s="88">
        <v>0</v>
      </c>
      <c r="BM168" s="88">
        <v>0</v>
      </c>
      <c r="BN168" s="88">
        <v>0</v>
      </c>
      <c r="BO168" s="88">
        <v>0</v>
      </c>
      <c r="BP168" s="210">
        <v>0</v>
      </c>
      <c r="BQ168" s="208">
        <f t="shared" si="214"/>
        <v>0</v>
      </c>
      <c r="BR168" s="175">
        <f t="shared" si="213"/>
        <v>0</v>
      </c>
    </row>
    <row r="169" spans="1:70" ht="25.8" thickBot="1" x14ac:dyDescent="0.65">
      <c r="A169" s="64">
        <v>161</v>
      </c>
      <c r="B169" s="112" t="s">
        <v>479</v>
      </c>
      <c r="C169" s="113" t="s">
        <v>21</v>
      </c>
      <c r="D169" s="114">
        <v>45699</v>
      </c>
      <c r="E169" s="115">
        <v>1</v>
      </c>
      <c r="F169" s="116">
        <f t="shared" ref="F169" si="294">+E169*$C$1</f>
        <v>533.33000000000004</v>
      </c>
      <c r="G169" s="116">
        <f t="shared" ref="G169" si="295">+BR169</f>
        <v>1153.8</v>
      </c>
      <c r="H169" s="117">
        <f t="shared" ref="H169" si="296">+F169+G169</f>
        <v>1687.13</v>
      </c>
      <c r="I169" s="118">
        <v>13</v>
      </c>
      <c r="J169" s="88">
        <v>14</v>
      </c>
      <c r="L169" s="179">
        <v>46061</v>
      </c>
      <c r="M169" s="129"/>
      <c r="N169" s="121" t="str">
        <f t="shared" ca="1" si="293"/>
        <v>O.K.</v>
      </c>
      <c r="W169" s="1" t="s">
        <v>479</v>
      </c>
      <c r="X169" s="68">
        <v>853.8</v>
      </c>
      <c r="Y169" s="48"/>
      <c r="Z169" s="49"/>
      <c r="AA169" s="49"/>
      <c r="AB169" s="49"/>
      <c r="AC169" s="31"/>
      <c r="AD169" s="28"/>
      <c r="AE169" s="52"/>
      <c r="AF169" s="52"/>
      <c r="AG169" s="49"/>
      <c r="AH169" s="22"/>
      <c r="AI169" s="52"/>
      <c r="AJ169" s="52"/>
      <c r="AK169" s="49"/>
      <c r="AL169" s="31"/>
      <c r="AM169" s="52"/>
      <c r="AN169" s="52"/>
      <c r="AO169" s="72"/>
      <c r="AP169" s="74"/>
      <c r="AQ169" s="76"/>
      <c r="AR169" s="76"/>
      <c r="AS169" s="74"/>
      <c r="AT169" s="74"/>
      <c r="AU169" s="73"/>
      <c r="AV169" s="73"/>
      <c r="AW169" s="73"/>
      <c r="AX169" s="73"/>
      <c r="AY169" s="109">
        <f t="shared" si="241"/>
        <v>0</v>
      </c>
      <c r="AZ169" s="109">
        <f>+(0)+(0)+(0)+(0)+(192)+(0)+(198)+(186)</f>
        <v>576</v>
      </c>
      <c r="BA169" s="61">
        <v>150</v>
      </c>
      <c r="BB169" s="61">
        <f t="shared" ref="BB169" si="297">(AX169+AY169+AZ169)-BA169</f>
        <v>426</v>
      </c>
      <c r="BD169" s="153">
        <v>120</v>
      </c>
      <c r="BE169" s="88">
        <v>0</v>
      </c>
      <c r="BF169" s="88">
        <v>0</v>
      </c>
      <c r="BG169" s="88">
        <v>0</v>
      </c>
      <c r="BH169" s="88">
        <v>0</v>
      </c>
      <c r="BI169" s="88">
        <v>0</v>
      </c>
      <c r="BJ169" s="88">
        <v>0</v>
      </c>
      <c r="BK169" s="88">
        <v>0</v>
      </c>
      <c r="BL169" s="88">
        <v>0</v>
      </c>
      <c r="BM169" s="88">
        <v>0</v>
      </c>
      <c r="BN169" s="88">
        <v>0</v>
      </c>
      <c r="BO169" s="88">
        <v>0</v>
      </c>
      <c r="BP169" s="210">
        <v>150</v>
      </c>
      <c r="BQ169" s="208">
        <f t="shared" si="214"/>
        <v>396</v>
      </c>
      <c r="BR169" s="175">
        <f t="shared" si="213"/>
        <v>1153.8</v>
      </c>
    </row>
    <row r="170" spans="1:70" ht="25.8" thickBot="1" x14ac:dyDescent="0.65">
      <c r="A170" s="64">
        <v>162</v>
      </c>
      <c r="B170" s="166" t="s">
        <v>396</v>
      </c>
      <c r="C170" s="156" t="s">
        <v>171</v>
      </c>
      <c r="D170" s="167">
        <v>45019</v>
      </c>
      <c r="E170" s="168">
        <v>1</v>
      </c>
      <c r="F170" s="160">
        <f t="shared" ref="F170" si="298">+E170*$C$1</f>
        <v>533.33000000000004</v>
      </c>
      <c r="G170" s="160">
        <f t="shared" ref="G170" si="299">+BR170</f>
        <v>375.6</v>
      </c>
      <c r="H170" s="161">
        <f t="shared" ref="H170" si="300">+F170+G170</f>
        <v>908.93000000000006</v>
      </c>
      <c r="I170" s="162">
        <v>14</v>
      </c>
      <c r="J170" s="88">
        <v>14</v>
      </c>
      <c r="L170" s="169">
        <v>46480</v>
      </c>
      <c r="M170" s="164"/>
      <c r="N170" s="165" t="str">
        <f t="shared" ca="1" si="293"/>
        <v>O.K.</v>
      </c>
      <c r="W170" s="1" t="s">
        <v>396</v>
      </c>
      <c r="X170" s="50">
        <v>0</v>
      </c>
      <c r="Y170" s="48">
        <v>0</v>
      </c>
      <c r="Z170" s="49">
        <v>0</v>
      </c>
      <c r="AA170" s="49">
        <v>0</v>
      </c>
      <c r="AB170" s="49">
        <v>0</v>
      </c>
      <c r="AC170" s="31">
        <v>0</v>
      </c>
      <c r="AD170" s="28">
        <f t="shared" si="278"/>
        <v>0</v>
      </c>
      <c r="AE170" s="52">
        <v>0</v>
      </c>
      <c r="AF170" s="52">
        <v>0</v>
      </c>
      <c r="AG170" s="49">
        <v>0</v>
      </c>
      <c r="AH170" s="22">
        <f t="shared" si="279"/>
        <v>0</v>
      </c>
      <c r="AI170" s="52">
        <v>0</v>
      </c>
      <c r="AJ170" s="52">
        <v>0</v>
      </c>
      <c r="AK170" s="49">
        <v>0</v>
      </c>
      <c r="AL170" s="31">
        <f t="shared" si="280"/>
        <v>0</v>
      </c>
      <c r="AM170" s="52">
        <v>0</v>
      </c>
      <c r="AN170" s="52">
        <v>0</v>
      </c>
      <c r="AO170" s="72">
        <v>0</v>
      </c>
      <c r="AP170" s="74">
        <f t="shared" si="281"/>
        <v>0</v>
      </c>
      <c r="AQ170" s="76">
        <f t="shared" si="83"/>
        <v>0</v>
      </c>
      <c r="AR170" s="76">
        <f>+(0)+(279.6)+(0)+(0)+(0)+(0)</f>
        <v>279.60000000000002</v>
      </c>
      <c r="AS170" s="74">
        <v>120</v>
      </c>
      <c r="AT170" s="74">
        <f t="shared" si="282"/>
        <v>159.60000000000002</v>
      </c>
      <c r="AU170" s="73">
        <f t="shared" si="257"/>
        <v>0</v>
      </c>
      <c r="AV170" s="73">
        <f t="shared" si="266"/>
        <v>0</v>
      </c>
      <c r="AW170" s="73">
        <v>120</v>
      </c>
      <c r="AX170" s="73">
        <f t="shared" si="245"/>
        <v>39.600000000000023</v>
      </c>
      <c r="AY170" s="109">
        <f>+(0)+(0)+(96)+(0)</f>
        <v>96</v>
      </c>
      <c r="AZ170" s="109">
        <f t="shared" si="244"/>
        <v>0</v>
      </c>
      <c r="BA170" s="61">
        <v>120</v>
      </c>
      <c r="BB170" s="61">
        <f t="shared" si="255"/>
        <v>15.600000000000023</v>
      </c>
      <c r="BD170" s="88">
        <v>0</v>
      </c>
      <c r="BE170" s="88">
        <v>0</v>
      </c>
      <c r="BF170" s="88">
        <v>0</v>
      </c>
      <c r="BG170" s="88">
        <v>0</v>
      </c>
      <c r="BH170" s="88">
        <v>0</v>
      </c>
      <c r="BI170" s="88">
        <v>0</v>
      </c>
      <c r="BJ170" s="88">
        <v>0</v>
      </c>
      <c r="BK170" s="88">
        <v>0</v>
      </c>
      <c r="BL170" s="88">
        <v>0</v>
      </c>
      <c r="BM170" s="88">
        <v>0</v>
      </c>
      <c r="BN170" s="88">
        <v>0</v>
      </c>
      <c r="BO170" s="88">
        <v>0</v>
      </c>
      <c r="BP170" s="210">
        <v>15.6</v>
      </c>
      <c r="BQ170" s="208">
        <f t="shared" si="214"/>
        <v>2.3092638912203256E-14</v>
      </c>
      <c r="BR170" s="175">
        <f t="shared" si="213"/>
        <v>375.6</v>
      </c>
    </row>
    <row r="171" spans="1:70" ht="25.8" thickBot="1" x14ac:dyDescent="0.65">
      <c r="A171" s="64">
        <v>163</v>
      </c>
      <c r="B171" s="166" t="s">
        <v>89</v>
      </c>
      <c r="C171" s="156" t="s">
        <v>20</v>
      </c>
      <c r="D171" s="166" t="s">
        <v>10</v>
      </c>
      <c r="E171" s="168">
        <v>9</v>
      </c>
      <c r="F171" s="160">
        <f t="shared" si="276"/>
        <v>4799.97</v>
      </c>
      <c r="G171" s="160">
        <f t="shared" ref="G171:G191" si="301">+BR171</f>
        <v>1506</v>
      </c>
      <c r="H171" s="161">
        <f t="shared" si="277"/>
        <v>6305.97</v>
      </c>
      <c r="I171" s="162">
        <v>8</v>
      </c>
      <c r="J171" s="88">
        <v>8</v>
      </c>
      <c r="L171" s="169">
        <v>46593</v>
      </c>
      <c r="M171" s="164"/>
      <c r="N171" s="165" t="str">
        <f t="shared" ca="1" si="293"/>
        <v>O.K.</v>
      </c>
      <c r="W171" s="1" t="s">
        <v>89</v>
      </c>
      <c r="X171" s="50">
        <v>780</v>
      </c>
      <c r="Y171" s="48">
        <v>120</v>
      </c>
      <c r="Z171" s="49">
        <v>96</v>
      </c>
      <c r="AA171" s="49">
        <v>150</v>
      </c>
      <c r="AB171" s="49">
        <v>150</v>
      </c>
      <c r="AC171" s="31">
        <v>156</v>
      </c>
      <c r="AD171" s="28">
        <f t="shared" si="278"/>
        <v>6</v>
      </c>
      <c r="AE171" s="52">
        <v>0</v>
      </c>
      <c r="AF171" s="52">
        <f>+(0)+(54)+(0)+(0)+(0)+(54)</f>
        <v>108</v>
      </c>
      <c r="AG171" s="49">
        <v>114</v>
      </c>
      <c r="AH171" s="22">
        <f t="shared" si="279"/>
        <v>0</v>
      </c>
      <c r="AI171" s="52">
        <f t="shared" si="81"/>
        <v>0</v>
      </c>
      <c r="AJ171" s="52">
        <f t="shared" si="81"/>
        <v>0</v>
      </c>
      <c r="AK171" s="49">
        <v>0</v>
      </c>
      <c r="AL171" s="69">
        <f t="shared" si="280"/>
        <v>0</v>
      </c>
      <c r="AM171" s="52">
        <f t="shared" si="82"/>
        <v>0</v>
      </c>
      <c r="AN171" s="52">
        <f t="shared" si="82"/>
        <v>0</v>
      </c>
      <c r="AO171" s="72">
        <v>0</v>
      </c>
      <c r="AP171" s="74">
        <f t="shared" ref="AP171:AP210" si="302">+AL171+AM171+AN171-AO171</f>
        <v>0</v>
      </c>
      <c r="AQ171" s="76">
        <f t="shared" si="83"/>
        <v>0</v>
      </c>
      <c r="AR171" s="76">
        <f t="shared" si="83"/>
        <v>0</v>
      </c>
      <c r="AS171" s="74">
        <v>0</v>
      </c>
      <c r="AT171" s="74">
        <f t="shared" ref="AT171:AT210" si="303">+AP171+AQ171+AR171-AS171</f>
        <v>0</v>
      </c>
      <c r="AU171" s="73">
        <f>+(0)+(0)+(0)+(96)</f>
        <v>96</v>
      </c>
      <c r="AV171" s="73">
        <f t="shared" si="266"/>
        <v>0</v>
      </c>
      <c r="AW171" s="73">
        <v>96</v>
      </c>
      <c r="AX171" s="73">
        <f t="shared" si="245"/>
        <v>0</v>
      </c>
      <c r="AY171" s="109">
        <f t="shared" si="241"/>
        <v>0</v>
      </c>
      <c r="AZ171" s="109">
        <f t="shared" si="244"/>
        <v>0</v>
      </c>
      <c r="BA171" s="61">
        <v>0</v>
      </c>
      <c r="BB171" s="61">
        <f t="shared" si="255"/>
        <v>0</v>
      </c>
      <c r="BD171" s="88">
        <v>0</v>
      </c>
      <c r="BE171" s="88">
        <v>0</v>
      </c>
      <c r="BF171" s="88">
        <v>0</v>
      </c>
      <c r="BG171" s="88">
        <v>0</v>
      </c>
      <c r="BH171" s="88">
        <v>0</v>
      </c>
      <c r="BI171" s="88">
        <v>0</v>
      </c>
      <c r="BJ171" s="88">
        <v>0</v>
      </c>
      <c r="BK171" s="88">
        <v>0</v>
      </c>
      <c r="BL171" s="88">
        <v>0</v>
      </c>
      <c r="BM171" s="88">
        <v>0</v>
      </c>
      <c r="BN171" s="88">
        <v>0</v>
      </c>
      <c r="BO171" s="88">
        <v>0</v>
      </c>
      <c r="BP171" s="210">
        <v>0</v>
      </c>
      <c r="BQ171" s="208">
        <f t="shared" si="214"/>
        <v>0</v>
      </c>
      <c r="BR171" s="175">
        <f t="shared" si="213"/>
        <v>1506</v>
      </c>
    </row>
    <row r="172" spans="1:70" ht="25.8" thickBot="1" x14ac:dyDescent="0.65">
      <c r="A172" s="64">
        <v>164</v>
      </c>
      <c r="B172" s="112" t="s">
        <v>392</v>
      </c>
      <c r="C172" s="113" t="s">
        <v>20</v>
      </c>
      <c r="D172" s="114">
        <v>44992</v>
      </c>
      <c r="E172" s="115">
        <v>4</v>
      </c>
      <c r="F172" s="116">
        <f t="shared" ref="F172" si="304">+E172*$C$1</f>
        <v>2133.3200000000002</v>
      </c>
      <c r="G172" s="116">
        <f t="shared" ref="G172" si="305">+BR172</f>
        <v>1379.4</v>
      </c>
      <c r="H172" s="117">
        <f t="shared" ref="H172" si="306">+F172+G172</f>
        <v>3512.7200000000003</v>
      </c>
      <c r="I172" s="118">
        <v>11</v>
      </c>
      <c r="J172" s="88">
        <v>11</v>
      </c>
      <c r="L172" s="122">
        <v>46100</v>
      </c>
      <c r="M172" s="120"/>
      <c r="N172" s="121" t="str">
        <f t="shared" ca="1" si="293"/>
        <v>O.K.</v>
      </c>
      <c r="W172" s="1" t="s">
        <v>392</v>
      </c>
      <c r="X172" s="68">
        <v>797.4</v>
      </c>
      <c r="Y172" s="48">
        <v>0</v>
      </c>
      <c r="Z172" s="49">
        <v>0</v>
      </c>
      <c r="AA172" s="49">
        <v>0</v>
      </c>
      <c r="AB172" s="49">
        <v>0</v>
      </c>
      <c r="AC172" s="31">
        <v>0</v>
      </c>
      <c r="AD172" s="28">
        <f t="shared" si="278"/>
        <v>0</v>
      </c>
      <c r="AE172" s="52">
        <v>0</v>
      </c>
      <c r="AF172" s="52">
        <v>0</v>
      </c>
      <c r="AG172" s="49">
        <v>0</v>
      </c>
      <c r="AH172" s="22">
        <f t="shared" si="279"/>
        <v>0</v>
      </c>
      <c r="AI172" s="52">
        <v>0</v>
      </c>
      <c r="AJ172" s="52">
        <v>0</v>
      </c>
      <c r="AK172" s="49">
        <v>0</v>
      </c>
      <c r="AL172" s="69">
        <f t="shared" si="280"/>
        <v>0</v>
      </c>
      <c r="AM172" s="52">
        <v>0</v>
      </c>
      <c r="AN172" s="52">
        <v>0</v>
      </c>
      <c r="AO172" s="72">
        <v>0</v>
      </c>
      <c r="AP172" s="74">
        <f t="shared" si="302"/>
        <v>0</v>
      </c>
      <c r="AQ172" s="76">
        <f t="shared" si="83"/>
        <v>0</v>
      </c>
      <c r="AR172" s="76">
        <f>+(0)+(132)+(0)+(0)+(0)+(0)</f>
        <v>132</v>
      </c>
      <c r="AS172" s="74">
        <v>132</v>
      </c>
      <c r="AT172" s="74">
        <f t="shared" si="303"/>
        <v>0</v>
      </c>
      <c r="AU172" s="73">
        <f>+(0)+(0)+(0)+(690)</f>
        <v>690</v>
      </c>
      <c r="AV172" s="73">
        <f>+(0)+(0)+(0)+(0)+(0)+(0)+(408)+(0)</f>
        <v>408</v>
      </c>
      <c r="AW172" s="73">
        <v>150</v>
      </c>
      <c r="AX172" s="73">
        <f t="shared" si="245"/>
        <v>948</v>
      </c>
      <c r="AY172" s="109">
        <f>+(0)+(0)+(0)+(78)</f>
        <v>78</v>
      </c>
      <c r="AZ172" s="109">
        <f>+(30)+(30)+(30)+(0)+(0)+(0)+(0)+(31.2)</f>
        <v>121.2</v>
      </c>
      <c r="BA172" s="61">
        <v>150</v>
      </c>
      <c r="BB172" s="61">
        <f t="shared" si="255"/>
        <v>997.2</v>
      </c>
      <c r="BD172" s="153">
        <v>43.2</v>
      </c>
      <c r="BE172" s="88">
        <v>0</v>
      </c>
      <c r="BF172" s="88">
        <v>0</v>
      </c>
      <c r="BG172" s="88">
        <v>0</v>
      </c>
      <c r="BH172" s="88">
        <v>0</v>
      </c>
      <c r="BI172" s="88">
        <v>0</v>
      </c>
      <c r="BJ172" s="88">
        <v>0</v>
      </c>
      <c r="BK172" s="88">
        <v>0</v>
      </c>
      <c r="BL172" s="88">
        <v>0</v>
      </c>
      <c r="BM172" s="88">
        <v>0</v>
      </c>
      <c r="BN172" s="88">
        <v>0</v>
      </c>
      <c r="BO172" s="88">
        <v>0</v>
      </c>
      <c r="BP172" s="210">
        <v>150</v>
      </c>
      <c r="BQ172" s="208">
        <f t="shared" si="214"/>
        <v>890.40000000000009</v>
      </c>
      <c r="BR172" s="175">
        <f t="shared" si="213"/>
        <v>1379.4</v>
      </c>
    </row>
    <row r="173" spans="1:70" ht="25.8" thickBot="1" x14ac:dyDescent="0.65">
      <c r="A173" s="64">
        <v>165</v>
      </c>
      <c r="B173" s="112" t="s">
        <v>90</v>
      </c>
      <c r="C173" s="113" t="s">
        <v>171</v>
      </c>
      <c r="D173" s="112" t="s">
        <v>8</v>
      </c>
      <c r="E173" s="115">
        <v>6</v>
      </c>
      <c r="F173" s="116">
        <f t="shared" si="276"/>
        <v>3199.9800000000005</v>
      </c>
      <c r="G173" s="116">
        <f t="shared" si="301"/>
        <v>1716</v>
      </c>
      <c r="H173" s="117">
        <f t="shared" si="277"/>
        <v>4915.9800000000005</v>
      </c>
      <c r="I173" s="118">
        <v>9</v>
      </c>
      <c r="J173" s="88">
        <v>9</v>
      </c>
      <c r="L173" s="122">
        <v>46206</v>
      </c>
      <c r="M173" s="120"/>
      <c r="N173" s="121" t="str">
        <f t="shared" ca="1" si="293"/>
        <v>O.K.</v>
      </c>
      <c r="W173" s="1" t="s">
        <v>90</v>
      </c>
      <c r="X173" s="50">
        <v>420</v>
      </c>
      <c r="Y173" s="48">
        <v>120</v>
      </c>
      <c r="Z173" s="49">
        <v>96</v>
      </c>
      <c r="AA173" s="49">
        <v>120</v>
      </c>
      <c r="AB173" s="49">
        <v>120</v>
      </c>
      <c r="AC173" s="31">
        <v>138</v>
      </c>
      <c r="AD173" s="28">
        <f t="shared" si="278"/>
        <v>18</v>
      </c>
      <c r="AE173" s="52">
        <f>264+37.8</f>
        <v>301.8</v>
      </c>
      <c r="AF173" s="52">
        <f>+(0)+(78)+(0)+(0)+(0)+(54)</f>
        <v>132</v>
      </c>
      <c r="AG173" s="49">
        <v>120</v>
      </c>
      <c r="AH173" s="22">
        <f t="shared" si="279"/>
        <v>331.8</v>
      </c>
      <c r="AI173" s="52">
        <f>+(0)+(0)+(0)+(0)+(177)+(0)</f>
        <v>177</v>
      </c>
      <c r="AJ173" s="52">
        <f>+(78)+(78)+(0)+(0)+(0)+(0)</f>
        <v>156</v>
      </c>
      <c r="AK173" s="49">
        <v>120</v>
      </c>
      <c r="AL173" s="31">
        <f t="shared" si="280"/>
        <v>544.79999999999995</v>
      </c>
      <c r="AM173" s="52">
        <f t="shared" si="82"/>
        <v>0</v>
      </c>
      <c r="AN173" s="52">
        <f t="shared" si="82"/>
        <v>0</v>
      </c>
      <c r="AO173" s="72">
        <v>120</v>
      </c>
      <c r="AP173" s="74">
        <f t="shared" si="302"/>
        <v>424.79999999999995</v>
      </c>
      <c r="AQ173" s="76">
        <f>+(0)+(0)+(0)+(0)+(84)+(0)</f>
        <v>84</v>
      </c>
      <c r="AR173" s="76">
        <f t="shared" si="83"/>
        <v>0</v>
      </c>
      <c r="AS173" s="74">
        <v>120</v>
      </c>
      <c r="AT173" s="74">
        <f t="shared" si="303"/>
        <v>388.79999999999995</v>
      </c>
      <c r="AU173" s="73">
        <f t="shared" si="257"/>
        <v>0</v>
      </c>
      <c r="AV173" s="73">
        <f>+(78)+(0)+(96)+(0)+(0)+(0)+(0)+(78)</f>
        <v>252</v>
      </c>
      <c r="AW173" s="74">
        <v>120</v>
      </c>
      <c r="AX173" s="74">
        <f t="shared" si="245"/>
        <v>520.79999999999995</v>
      </c>
      <c r="AY173" s="109">
        <f>+(0)+(0)+(0)+(54)</f>
        <v>54</v>
      </c>
      <c r="AZ173" s="109">
        <f>+(0)+(0)+(78)+(0)+(0)+(78)+(0)+(0)</f>
        <v>156</v>
      </c>
      <c r="BA173" s="61">
        <v>120</v>
      </c>
      <c r="BB173" s="61">
        <f t="shared" si="255"/>
        <v>610.79999999999995</v>
      </c>
      <c r="BD173" s="88">
        <v>0</v>
      </c>
      <c r="BE173" s="88">
        <v>0</v>
      </c>
      <c r="BF173" s="88">
        <v>0</v>
      </c>
      <c r="BG173" s="88">
        <v>0</v>
      </c>
      <c r="BH173" s="88">
        <v>0</v>
      </c>
      <c r="BI173" s="88">
        <v>0</v>
      </c>
      <c r="BJ173" s="88">
        <v>0</v>
      </c>
      <c r="BK173" s="88">
        <v>0</v>
      </c>
      <c r="BL173" s="88">
        <v>0</v>
      </c>
      <c r="BM173" s="88">
        <v>0</v>
      </c>
      <c r="BN173" s="88">
        <v>0</v>
      </c>
      <c r="BO173" s="88">
        <v>0</v>
      </c>
      <c r="BP173" s="210">
        <v>120</v>
      </c>
      <c r="BQ173" s="208">
        <f t="shared" si="214"/>
        <v>490.79999999999995</v>
      </c>
      <c r="BR173" s="175">
        <f t="shared" si="213"/>
        <v>1716</v>
      </c>
    </row>
    <row r="174" spans="1:70" ht="25.8" thickBot="1" x14ac:dyDescent="0.65">
      <c r="A174" s="64">
        <v>166</v>
      </c>
      <c r="B174" s="166" t="s">
        <v>480</v>
      </c>
      <c r="C174" s="156" t="s">
        <v>21</v>
      </c>
      <c r="D174" s="167">
        <v>45691</v>
      </c>
      <c r="E174" s="168">
        <v>1</v>
      </c>
      <c r="F174" s="160">
        <f t="shared" ref="F174" si="307">+E174*$C$1</f>
        <v>533.33000000000004</v>
      </c>
      <c r="G174" s="160">
        <f t="shared" ref="G174" si="308">+BR174</f>
        <v>726</v>
      </c>
      <c r="H174" s="161">
        <f t="shared" ref="H174" si="309">+F174+G174</f>
        <v>1259.33</v>
      </c>
      <c r="I174" s="162">
        <v>14</v>
      </c>
      <c r="J174" s="88">
        <v>14</v>
      </c>
      <c r="L174" s="169">
        <v>46499</v>
      </c>
      <c r="M174" s="164"/>
      <c r="N174" s="165" t="str">
        <f t="shared" ca="1" si="293"/>
        <v>O.K.</v>
      </c>
      <c r="W174" s="1" t="s">
        <v>480</v>
      </c>
      <c r="X174" s="68">
        <v>618</v>
      </c>
      <c r="Y174" s="48"/>
      <c r="Z174" s="49"/>
      <c r="AA174" s="49"/>
      <c r="AB174" s="49"/>
      <c r="AC174" s="31"/>
      <c r="AD174" s="28"/>
      <c r="AE174" s="52"/>
      <c r="AF174" s="52"/>
      <c r="AG174" s="49"/>
      <c r="AH174" s="22"/>
      <c r="AI174" s="52"/>
      <c r="AJ174" s="52"/>
      <c r="AK174" s="49"/>
      <c r="AL174" s="31"/>
      <c r="AM174" s="52"/>
      <c r="AN174" s="52"/>
      <c r="AO174" s="72"/>
      <c r="AP174" s="74"/>
      <c r="AQ174" s="76"/>
      <c r="AR174" s="76"/>
      <c r="AS174" s="74"/>
      <c r="AT174" s="74"/>
      <c r="AU174" s="73"/>
      <c r="AV174" s="73"/>
      <c r="AW174" s="74"/>
      <c r="AX174" s="74"/>
      <c r="AY174" s="109">
        <f t="shared" si="241"/>
        <v>0</v>
      </c>
      <c r="AZ174" s="109">
        <f>+(0)+(0)+(0)+(0)+(30)+(78)+(0)+(0)</f>
        <v>108</v>
      </c>
      <c r="BA174" s="61">
        <v>108</v>
      </c>
      <c r="BB174" s="61">
        <f t="shared" si="255"/>
        <v>0</v>
      </c>
      <c r="BD174" s="88">
        <v>0</v>
      </c>
      <c r="BE174" s="88">
        <v>0</v>
      </c>
      <c r="BF174" s="88">
        <v>0</v>
      </c>
      <c r="BG174" s="88">
        <v>0</v>
      </c>
      <c r="BH174" s="88">
        <v>0</v>
      </c>
      <c r="BI174" s="88">
        <v>0</v>
      </c>
      <c r="BJ174" s="88">
        <v>0</v>
      </c>
      <c r="BK174" s="88">
        <v>0</v>
      </c>
      <c r="BL174" s="88">
        <v>0</v>
      </c>
      <c r="BM174" s="88">
        <v>0</v>
      </c>
      <c r="BN174" s="88">
        <v>0</v>
      </c>
      <c r="BO174" s="88">
        <v>0</v>
      </c>
      <c r="BP174" s="210">
        <v>0</v>
      </c>
      <c r="BQ174" s="208">
        <f t="shared" si="214"/>
        <v>0</v>
      </c>
      <c r="BR174" s="175">
        <f t="shared" si="213"/>
        <v>726</v>
      </c>
    </row>
    <row r="175" spans="1:70" ht="25.8" thickBot="1" x14ac:dyDescent="0.65">
      <c r="A175" s="64">
        <v>167</v>
      </c>
      <c r="B175" s="112" t="s">
        <v>459</v>
      </c>
      <c r="C175" s="113" t="s">
        <v>21</v>
      </c>
      <c r="D175" s="123">
        <v>45537</v>
      </c>
      <c r="E175" s="115">
        <v>1</v>
      </c>
      <c r="F175" s="116">
        <f t="shared" si="276"/>
        <v>533.33000000000004</v>
      </c>
      <c r="G175" s="116">
        <f t="shared" ref="G175" si="310">+BR175</f>
        <v>217.2</v>
      </c>
      <c r="H175" s="117">
        <f t="shared" ref="H175" si="311">+F175+G175</f>
        <v>750.53</v>
      </c>
      <c r="I175" s="118">
        <v>15</v>
      </c>
      <c r="J175" s="88">
        <v>15</v>
      </c>
      <c r="L175" s="122">
        <v>46227</v>
      </c>
      <c r="M175" s="120"/>
      <c r="N175" s="121" t="str">
        <f t="shared" ca="1" si="293"/>
        <v>O.K.</v>
      </c>
      <c r="W175" s="1" t="s">
        <v>459</v>
      </c>
      <c r="X175" s="50"/>
      <c r="Y175" s="48"/>
      <c r="Z175" s="49"/>
      <c r="AA175" s="49"/>
      <c r="AB175" s="49"/>
      <c r="AC175" s="31"/>
      <c r="AD175" s="28"/>
      <c r="AE175" s="52"/>
      <c r="AF175" s="52"/>
      <c r="AG175" s="49"/>
      <c r="AH175" s="22"/>
      <c r="AI175" s="52"/>
      <c r="AJ175" s="52"/>
      <c r="AK175" s="49"/>
      <c r="AL175" s="31"/>
      <c r="AM175" s="52"/>
      <c r="AN175" s="52"/>
      <c r="AO175" s="72"/>
      <c r="AP175" s="74"/>
      <c r="AQ175" s="76"/>
      <c r="AR175" s="76"/>
      <c r="AS175" s="74"/>
      <c r="AT175" s="74"/>
      <c r="AU175" s="73"/>
      <c r="AV175" s="73"/>
      <c r="AW175" s="73"/>
      <c r="AX175" s="73"/>
      <c r="AY175" s="109">
        <f t="shared" si="241"/>
        <v>0</v>
      </c>
      <c r="AZ175" s="109">
        <f>+(0)+(0)+(0)+(0)+(78)+(0)+(0)+(139.2)</f>
        <v>217.2</v>
      </c>
      <c r="BA175" s="61">
        <v>150</v>
      </c>
      <c r="BB175" s="61">
        <f t="shared" ref="BB175" si="312">(AX175+AY175+AZ175)-BA175</f>
        <v>67.199999999999989</v>
      </c>
      <c r="BD175" s="88">
        <v>0</v>
      </c>
      <c r="BE175" s="88">
        <v>0</v>
      </c>
      <c r="BF175" s="88">
        <v>0</v>
      </c>
      <c r="BG175" s="88">
        <v>0</v>
      </c>
      <c r="BH175" s="88">
        <v>0</v>
      </c>
      <c r="BI175" s="88">
        <v>0</v>
      </c>
      <c r="BJ175" s="88">
        <v>0</v>
      </c>
      <c r="BK175" s="88">
        <v>0</v>
      </c>
      <c r="BL175" s="88">
        <v>0</v>
      </c>
      <c r="BM175" s="88">
        <v>0</v>
      </c>
      <c r="BN175" s="88">
        <v>0</v>
      </c>
      <c r="BO175" s="88">
        <v>0</v>
      </c>
      <c r="BP175" s="210">
        <v>67.2</v>
      </c>
      <c r="BQ175" s="208">
        <f t="shared" si="214"/>
        <v>0</v>
      </c>
      <c r="BR175" s="175">
        <f t="shared" si="213"/>
        <v>217.2</v>
      </c>
    </row>
    <row r="176" spans="1:70" ht="25.8" thickBot="1" x14ac:dyDescent="0.65">
      <c r="A176" s="64">
        <v>168</v>
      </c>
      <c r="B176" s="166" t="s">
        <v>388</v>
      </c>
      <c r="C176" s="156" t="s">
        <v>171</v>
      </c>
      <c r="D176" s="170">
        <v>44927</v>
      </c>
      <c r="E176" s="168">
        <v>2</v>
      </c>
      <c r="F176" s="160">
        <f>+E176*$C$1</f>
        <v>1066.6600000000001</v>
      </c>
      <c r="G176" s="160">
        <f t="shared" ref="G176" si="313">+BR176</f>
        <v>444</v>
      </c>
      <c r="H176" s="161">
        <f>+F176+G176</f>
        <v>1510.66</v>
      </c>
      <c r="I176" s="162">
        <v>14</v>
      </c>
      <c r="J176" s="88">
        <v>14</v>
      </c>
      <c r="L176" s="169">
        <v>46574</v>
      </c>
      <c r="M176" s="164"/>
      <c r="N176" s="165" t="str">
        <f t="shared" ca="1" si="293"/>
        <v>O.K.</v>
      </c>
      <c r="W176" s="1" t="s">
        <v>388</v>
      </c>
      <c r="X176" s="50">
        <v>0</v>
      </c>
      <c r="Y176" s="48">
        <v>0</v>
      </c>
      <c r="Z176" s="49">
        <v>0</v>
      </c>
      <c r="AA176" s="49">
        <v>0</v>
      </c>
      <c r="AB176" s="49">
        <v>0</v>
      </c>
      <c r="AC176" s="31">
        <v>0</v>
      </c>
      <c r="AD176" s="28">
        <f t="shared" si="278"/>
        <v>0</v>
      </c>
      <c r="AE176" s="52">
        <v>0</v>
      </c>
      <c r="AF176" s="52">
        <v>0</v>
      </c>
      <c r="AG176" s="49">
        <v>0</v>
      </c>
      <c r="AH176" s="22">
        <f t="shared" si="279"/>
        <v>0</v>
      </c>
      <c r="AI176" s="52">
        <v>0</v>
      </c>
      <c r="AJ176" s="52">
        <v>0</v>
      </c>
      <c r="AK176" s="49">
        <v>0</v>
      </c>
      <c r="AL176" s="31">
        <f t="shared" si="280"/>
        <v>0</v>
      </c>
      <c r="AM176" s="52">
        <v>0</v>
      </c>
      <c r="AN176" s="52">
        <v>0</v>
      </c>
      <c r="AO176" s="22">
        <v>0</v>
      </c>
      <c r="AP176" s="74">
        <f t="shared" si="302"/>
        <v>0</v>
      </c>
      <c r="AQ176" s="76">
        <f>+(0)+(0)+(0)+(0)+(54)+(0)</f>
        <v>54</v>
      </c>
      <c r="AR176" s="76">
        <f>+(0)+(216)+(0)+(0)+(0)+(0)</f>
        <v>216</v>
      </c>
      <c r="AS176" s="74">
        <v>120</v>
      </c>
      <c r="AT176" s="74">
        <f t="shared" si="303"/>
        <v>150</v>
      </c>
      <c r="AU176" s="73">
        <f>+(0)+(0)+(0)+(78)</f>
        <v>78</v>
      </c>
      <c r="AV176" s="73">
        <f>+(0)+(0)+(96)+(0)+(0)+(0)+(0)+(0)</f>
        <v>96</v>
      </c>
      <c r="AW176" s="73">
        <v>120</v>
      </c>
      <c r="AX176" s="73">
        <f t="shared" ref="AX176:AX186" si="314">+AT176+AU176+AV176-AW176</f>
        <v>204</v>
      </c>
      <c r="AY176" s="109">
        <f t="shared" si="241"/>
        <v>0</v>
      </c>
      <c r="AZ176" s="109">
        <f t="shared" si="244"/>
        <v>0</v>
      </c>
      <c r="BA176" s="61">
        <v>120</v>
      </c>
      <c r="BB176" s="61">
        <f t="shared" si="255"/>
        <v>84</v>
      </c>
      <c r="BD176" s="88">
        <v>0</v>
      </c>
      <c r="BE176" s="88">
        <v>0</v>
      </c>
      <c r="BF176" s="88">
        <v>0</v>
      </c>
      <c r="BG176" s="88">
        <v>0</v>
      </c>
      <c r="BH176" s="88">
        <v>0</v>
      </c>
      <c r="BI176" s="88">
        <v>0</v>
      </c>
      <c r="BJ176" s="88">
        <v>0</v>
      </c>
      <c r="BK176" s="88">
        <v>0</v>
      </c>
      <c r="BL176" s="88">
        <v>0</v>
      </c>
      <c r="BM176" s="88">
        <v>0</v>
      </c>
      <c r="BN176" s="88">
        <v>0</v>
      </c>
      <c r="BO176" s="88">
        <v>0</v>
      </c>
      <c r="BP176" s="210">
        <v>84</v>
      </c>
      <c r="BQ176" s="208">
        <f t="shared" si="214"/>
        <v>0</v>
      </c>
      <c r="BR176" s="175">
        <f t="shared" si="213"/>
        <v>444</v>
      </c>
    </row>
    <row r="177" spans="1:70" ht="25.8" thickBot="1" x14ac:dyDescent="0.65">
      <c r="A177" s="64">
        <v>169</v>
      </c>
      <c r="B177" s="166" t="s">
        <v>92</v>
      </c>
      <c r="C177" s="156" t="s">
        <v>23</v>
      </c>
      <c r="D177" s="166" t="s">
        <v>160</v>
      </c>
      <c r="E177" s="168">
        <v>10</v>
      </c>
      <c r="F177" s="160">
        <f t="shared" si="276"/>
        <v>5333.3</v>
      </c>
      <c r="G177" s="160">
        <f t="shared" si="301"/>
        <v>2318.3999999999996</v>
      </c>
      <c r="H177" s="161">
        <f t="shared" si="277"/>
        <v>7651.7</v>
      </c>
      <c r="I177" s="162">
        <v>6</v>
      </c>
      <c r="J177" s="88">
        <v>6</v>
      </c>
      <c r="L177" s="169">
        <v>46631</v>
      </c>
      <c r="M177" s="164"/>
      <c r="N177" s="165" t="str">
        <f t="shared" ca="1" si="293"/>
        <v>O.K.</v>
      </c>
      <c r="W177" s="1" t="s">
        <v>92</v>
      </c>
      <c r="X177" s="50">
        <v>1350</v>
      </c>
      <c r="Y177" s="48">
        <v>96</v>
      </c>
      <c r="Z177" s="49">
        <v>108</v>
      </c>
      <c r="AA177" s="49">
        <v>120</v>
      </c>
      <c r="AB177" s="49">
        <v>109.2</v>
      </c>
      <c r="AC177" s="31">
        <v>109.2</v>
      </c>
      <c r="AD177" s="28">
        <f t="shared" si="278"/>
        <v>0</v>
      </c>
      <c r="AE177" s="52">
        <v>54</v>
      </c>
      <c r="AF177" s="52">
        <f>+(0)+(0)+(0)+(0)+(0)+(162)</f>
        <v>162</v>
      </c>
      <c r="AG177" s="49">
        <v>120</v>
      </c>
      <c r="AH177" s="22">
        <f t="shared" ref="AH177:AH210" si="315">+AD177+(AE177+AF177)-AG177</f>
        <v>96</v>
      </c>
      <c r="AI177" s="52">
        <f t="shared" si="81"/>
        <v>0</v>
      </c>
      <c r="AJ177" s="52">
        <f>+(0)+(0)+(0)+(0)+(0)+(21)</f>
        <v>21</v>
      </c>
      <c r="AK177" s="49">
        <v>117</v>
      </c>
      <c r="AL177" s="31">
        <f t="shared" si="280"/>
        <v>0</v>
      </c>
      <c r="AM177" s="52">
        <f>+(0)+(0)+(0)+(0)+(0)+(30)</f>
        <v>30</v>
      </c>
      <c r="AN177" s="52">
        <f>+(0)+(186)+(0)+(0)+(51)+(0)</f>
        <v>237</v>
      </c>
      <c r="AO177" s="72">
        <v>120</v>
      </c>
      <c r="AP177" s="74">
        <f t="shared" si="302"/>
        <v>147</v>
      </c>
      <c r="AQ177" s="76">
        <f t="shared" si="83"/>
        <v>0</v>
      </c>
      <c r="AR177" s="76">
        <f t="shared" si="83"/>
        <v>0</v>
      </c>
      <c r="AS177" s="74">
        <v>120</v>
      </c>
      <c r="AT177" s="74">
        <f t="shared" si="303"/>
        <v>27</v>
      </c>
      <c r="AU177" s="73">
        <f t="shared" si="257"/>
        <v>0</v>
      </c>
      <c r="AV177" s="73">
        <f>+(0)+(0)+(0)+(0)+(0)+(0)+(0)+(31.2)</f>
        <v>31.2</v>
      </c>
      <c r="AW177" s="74">
        <v>58.2</v>
      </c>
      <c r="AX177" s="74">
        <f t="shared" si="314"/>
        <v>0</v>
      </c>
      <c r="AY177" s="109">
        <f t="shared" si="241"/>
        <v>0</v>
      </c>
      <c r="AZ177" s="109">
        <f t="shared" si="244"/>
        <v>0</v>
      </c>
      <c r="BA177" s="61">
        <v>0</v>
      </c>
      <c r="BB177" s="61">
        <f t="shared" si="255"/>
        <v>0</v>
      </c>
      <c r="BD177" s="88">
        <v>0</v>
      </c>
      <c r="BE177" s="88">
        <v>0</v>
      </c>
      <c r="BF177" s="88">
        <v>0</v>
      </c>
      <c r="BG177" s="88">
        <v>0</v>
      </c>
      <c r="BH177" s="88">
        <v>0</v>
      </c>
      <c r="BI177" s="88">
        <v>0</v>
      </c>
      <c r="BJ177" s="88">
        <v>0</v>
      </c>
      <c r="BK177" s="88">
        <v>0</v>
      </c>
      <c r="BL177" s="88">
        <v>0</v>
      </c>
      <c r="BM177" s="88">
        <v>0</v>
      </c>
      <c r="BN177" s="88">
        <v>0</v>
      </c>
      <c r="BO177" s="88">
        <v>0</v>
      </c>
      <c r="BP177" s="210">
        <v>0</v>
      </c>
      <c r="BQ177" s="208">
        <f t="shared" si="214"/>
        <v>0</v>
      </c>
      <c r="BR177" s="175">
        <f t="shared" si="213"/>
        <v>2318.3999999999996</v>
      </c>
    </row>
    <row r="178" spans="1:70" ht="25.8" thickBot="1" x14ac:dyDescent="0.65">
      <c r="A178" s="64">
        <v>170</v>
      </c>
      <c r="B178" s="90" t="s">
        <v>196</v>
      </c>
      <c r="C178" s="91" t="s">
        <v>23</v>
      </c>
      <c r="D178" s="90" t="s">
        <v>197</v>
      </c>
      <c r="E178" s="93">
        <v>15</v>
      </c>
      <c r="F178" s="93">
        <f t="shared" si="276"/>
        <v>7999.9500000000007</v>
      </c>
      <c r="G178" s="93">
        <f t="shared" si="301"/>
        <v>3439</v>
      </c>
      <c r="H178" s="94">
        <f t="shared" si="277"/>
        <v>11438.95</v>
      </c>
      <c r="I178" s="95">
        <v>1</v>
      </c>
      <c r="J178" s="88">
        <v>1</v>
      </c>
      <c r="L178" s="103"/>
      <c r="M178" s="96"/>
      <c r="N178" s="97" t="s">
        <v>25</v>
      </c>
      <c r="W178" s="1" t="s">
        <v>196</v>
      </c>
      <c r="X178" s="50">
        <v>2155</v>
      </c>
      <c r="Y178" s="48">
        <v>120</v>
      </c>
      <c r="Z178" s="49">
        <v>96</v>
      </c>
      <c r="AA178" s="49">
        <v>120</v>
      </c>
      <c r="AB178" s="49">
        <v>108</v>
      </c>
      <c r="AC178" s="31">
        <v>108</v>
      </c>
      <c r="AD178" s="28">
        <f t="shared" si="278"/>
        <v>0</v>
      </c>
      <c r="AE178" s="52">
        <v>186.6</v>
      </c>
      <c r="AF178" s="52">
        <f>+(0)+(162)+(0)+(132.6)+(0)+(162)</f>
        <v>456.6</v>
      </c>
      <c r="AG178" s="49">
        <v>120</v>
      </c>
      <c r="AH178" s="22">
        <f t="shared" si="315"/>
        <v>523.20000000000005</v>
      </c>
      <c r="AI178" s="52">
        <f t="shared" si="81"/>
        <v>0</v>
      </c>
      <c r="AJ178" s="52">
        <f>+(78)+(0)+(108)+(0)+(0)+(0)</f>
        <v>186</v>
      </c>
      <c r="AK178" s="49">
        <v>120</v>
      </c>
      <c r="AL178" s="31">
        <f t="shared" si="280"/>
        <v>589.20000000000005</v>
      </c>
      <c r="AM178" s="52">
        <f t="shared" si="82"/>
        <v>0</v>
      </c>
      <c r="AN178" s="52">
        <f>+(0)+(0)+(0)+(0)+(0)+(108)</f>
        <v>108</v>
      </c>
      <c r="AO178" s="72">
        <v>120</v>
      </c>
      <c r="AP178" s="74">
        <f t="shared" si="302"/>
        <v>577.20000000000005</v>
      </c>
      <c r="AQ178" s="76">
        <f>+(0)+(0)+(0)+(0)+(54)+(0)</f>
        <v>54</v>
      </c>
      <c r="AR178" s="76">
        <f t="shared" si="83"/>
        <v>0</v>
      </c>
      <c r="AS178" s="74">
        <v>120</v>
      </c>
      <c r="AT178" s="74">
        <f t="shared" si="303"/>
        <v>511.20000000000005</v>
      </c>
      <c r="AU178" s="73">
        <f t="shared" si="257"/>
        <v>0</v>
      </c>
      <c r="AV178" s="73">
        <f>+(0)+(0)+(0)+(0)+(78)+(0)+(0)+(0)</f>
        <v>78</v>
      </c>
      <c r="AW178" s="73">
        <v>120</v>
      </c>
      <c r="AX178" s="73">
        <f t="shared" si="314"/>
        <v>469.20000000000005</v>
      </c>
      <c r="AY178" s="109">
        <f t="shared" si="241"/>
        <v>0</v>
      </c>
      <c r="AZ178" s="109">
        <f t="shared" si="244"/>
        <v>0</v>
      </c>
      <c r="BA178" s="61">
        <v>120</v>
      </c>
      <c r="BB178" s="61">
        <f t="shared" si="255"/>
        <v>349.20000000000005</v>
      </c>
      <c r="BD178" s="88">
        <v>0</v>
      </c>
      <c r="BE178" s="88">
        <v>0</v>
      </c>
      <c r="BF178" s="88">
        <v>0</v>
      </c>
      <c r="BG178" s="88">
        <v>0</v>
      </c>
      <c r="BH178" s="88">
        <v>0</v>
      </c>
      <c r="BI178" s="88">
        <v>0</v>
      </c>
      <c r="BJ178" s="88">
        <v>0</v>
      </c>
      <c r="BK178" s="88">
        <v>0</v>
      </c>
      <c r="BL178" s="88">
        <v>0</v>
      </c>
      <c r="BM178" s="88">
        <v>0</v>
      </c>
      <c r="BN178" s="88">
        <v>0</v>
      </c>
      <c r="BO178" s="88">
        <v>0</v>
      </c>
      <c r="BP178" s="210">
        <v>120</v>
      </c>
      <c r="BQ178" s="208">
        <f t="shared" si="214"/>
        <v>229.20000000000005</v>
      </c>
      <c r="BR178" s="175">
        <f t="shared" si="213"/>
        <v>3439</v>
      </c>
    </row>
    <row r="179" spans="1:70" ht="25.8" thickBot="1" x14ac:dyDescent="0.65">
      <c r="A179" s="64">
        <v>171</v>
      </c>
      <c r="B179" s="166" t="s">
        <v>340</v>
      </c>
      <c r="C179" s="156" t="s">
        <v>20</v>
      </c>
      <c r="D179" s="167">
        <v>44474</v>
      </c>
      <c r="E179" s="168">
        <v>2</v>
      </c>
      <c r="F179" s="160">
        <f t="shared" si="276"/>
        <v>1066.6600000000001</v>
      </c>
      <c r="G179" s="160">
        <f t="shared" si="301"/>
        <v>600</v>
      </c>
      <c r="H179" s="161">
        <f t="shared" si="277"/>
        <v>1666.66</v>
      </c>
      <c r="I179" s="162">
        <v>14</v>
      </c>
      <c r="J179" s="88">
        <v>14</v>
      </c>
      <c r="L179" s="169">
        <v>46665</v>
      </c>
      <c r="M179" s="164"/>
      <c r="N179" s="165" t="str">
        <f t="shared" ref="N179:N200" ca="1" si="316">IF($B$2&lt;L179,"O.K.","A L E R T A ")</f>
        <v>O.K.</v>
      </c>
      <c r="W179" s="1" t="s">
        <v>340</v>
      </c>
      <c r="X179" s="50">
        <v>0</v>
      </c>
      <c r="Y179" s="48">
        <v>0</v>
      </c>
      <c r="Z179" s="49">
        <v>0</v>
      </c>
      <c r="AA179" s="49">
        <v>0</v>
      </c>
      <c r="AB179" s="49">
        <v>0</v>
      </c>
      <c r="AC179" s="31">
        <v>0</v>
      </c>
      <c r="AD179" s="28">
        <f t="shared" si="278"/>
        <v>0</v>
      </c>
      <c r="AE179" s="52">
        <v>0</v>
      </c>
      <c r="AF179" s="52">
        <v>0</v>
      </c>
      <c r="AG179" s="49">
        <v>0</v>
      </c>
      <c r="AH179" s="22">
        <f t="shared" si="315"/>
        <v>0</v>
      </c>
      <c r="AI179" s="52">
        <f t="shared" si="81"/>
        <v>0</v>
      </c>
      <c r="AJ179" s="52">
        <f t="shared" si="81"/>
        <v>0</v>
      </c>
      <c r="AK179" s="49">
        <v>0</v>
      </c>
      <c r="AL179" s="69">
        <f t="shared" ref="AL179:AL210" si="317">+AH179+AI179+AJ179-AK179</f>
        <v>0</v>
      </c>
      <c r="AM179" s="52">
        <f t="shared" si="82"/>
        <v>0</v>
      </c>
      <c r="AN179" s="52">
        <f t="shared" si="82"/>
        <v>0</v>
      </c>
      <c r="AO179" s="72">
        <v>0</v>
      </c>
      <c r="AP179" s="74">
        <f t="shared" si="302"/>
        <v>0</v>
      </c>
      <c r="AQ179" s="76">
        <f>+(0)+(0)+(0)+(0)+(156)+(0)</f>
        <v>156</v>
      </c>
      <c r="AR179" s="76">
        <f>+(120)+(624)+(0)+(0)+(0)+(0)</f>
        <v>744</v>
      </c>
      <c r="AS179" s="74">
        <v>150</v>
      </c>
      <c r="AT179" s="74">
        <f t="shared" si="303"/>
        <v>750</v>
      </c>
      <c r="AU179" s="73">
        <f>+(0)+(0)+(0)+(54.6)</f>
        <v>54.6</v>
      </c>
      <c r="AV179" s="73">
        <f t="shared" si="266"/>
        <v>0</v>
      </c>
      <c r="AW179" s="73">
        <v>150</v>
      </c>
      <c r="AX179" s="73">
        <f t="shared" si="314"/>
        <v>654.6</v>
      </c>
      <c r="AY179" s="109">
        <f t="shared" si="241"/>
        <v>0</v>
      </c>
      <c r="AZ179" s="109">
        <f>+(0)+(0)+(0)+(0)+(78)+(0)+(0)+(0)</f>
        <v>78</v>
      </c>
      <c r="BA179" s="61">
        <v>150</v>
      </c>
      <c r="BB179" s="61">
        <f t="shared" ref="BB179:BB210" si="318">(AX179+AY179+AZ179)-BA179</f>
        <v>582.6</v>
      </c>
      <c r="BD179" s="88">
        <v>0</v>
      </c>
      <c r="BE179" s="88">
        <v>0</v>
      </c>
      <c r="BF179" s="88">
        <v>0</v>
      </c>
      <c r="BG179" s="88">
        <v>0</v>
      </c>
      <c r="BH179" s="88">
        <v>0</v>
      </c>
      <c r="BI179" s="88">
        <v>0</v>
      </c>
      <c r="BJ179" s="88">
        <v>0</v>
      </c>
      <c r="BK179" s="88">
        <v>0</v>
      </c>
      <c r="BL179" s="88">
        <v>0</v>
      </c>
      <c r="BM179" s="88">
        <v>0</v>
      </c>
      <c r="BN179" s="88">
        <v>0</v>
      </c>
      <c r="BO179" s="88">
        <v>0</v>
      </c>
      <c r="BP179" s="210">
        <v>150</v>
      </c>
      <c r="BQ179" s="208">
        <f t="shared" si="214"/>
        <v>432.6</v>
      </c>
      <c r="BR179" s="175">
        <f t="shared" si="213"/>
        <v>600</v>
      </c>
    </row>
    <row r="180" spans="1:70" ht="25.8" thickBot="1" x14ac:dyDescent="0.65">
      <c r="A180" s="64">
        <v>172</v>
      </c>
      <c r="B180" s="166" t="s">
        <v>95</v>
      </c>
      <c r="C180" s="156" t="s">
        <v>23</v>
      </c>
      <c r="D180" s="172" t="s">
        <v>161</v>
      </c>
      <c r="E180" s="168">
        <v>9</v>
      </c>
      <c r="F180" s="160">
        <f t="shared" si="276"/>
        <v>4799.97</v>
      </c>
      <c r="G180" s="160">
        <f t="shared" si="301"/>
        <v>2345.8999999999996</v>
      </c>
      <c r="H180" s="161">
        <f t="shared" si="277"/>
        <v>7145.87</v>
      </c>
      <c r="I180" s="162">
        <v>6</v>
      </c>
      <c r="J180" s="88">
        <v>6</v>
      </c>
      <c r="L180" s="169">
        <v>46491</v>
      </c>
      <c r="M180" s="164"/>
      <c r="N180" s="165" t="str">
        <f t="shared" ca="1" si="316"/>
        <v>O.K.</v>
      </c>
      <c r="W180" s="1" t="s">
        <v>95</v>
      </c>
      <c r="X180" s="50">
        <v>1077.5</v>
      </c>
      <c r="Y180" s="48">
        <v>120</v>
      </c>
      <c r="Z180" s="49">
        <v>120</v>
      </c>
      <c r="AA180" s="49">
        <v>120</v>
      </c>
      <c r="AB180" s="49">
        <v>108.6</v>
      </c>
      <c r="AC180" s="31">
        <v>108.6</v>
      </c>
      <c r="AD180" s="28">
        <f t="shared" si="278"/>
        <v>0</v>
      </c>
      <c r="AE180" s="52">
        <v>156</v>
      </c>
      <c r="AF180" s="52">
        <f>+(0)+(37.8)+(0)+(0)+(0)+(162)</f>
        <v>199.8</v>
      </c>
      <c r="AG180" s="49">
        <v>120</v>
      </c>
      <c r="AH180" s="22">
        <f t="shared" si="315"/>
        <v>235.8</v>
      </c>
      <c r="AI180" s="52">
        <f t="shared" si="81"/>
        <v>0</v>
      </c>
      <c r="AJ180" s="52">
        <f>+(0)+(0)+(0)+(0)+(30)+(0)</f>
        <v>30</v>
      </c>
      <c r="AK180" s="49">
        <v>120</v>
      </c>
      <c r="AL180" s="31">
        <f t="shared" si="317"/>
        <v>145.80000000000001</v>
      </c>
      <c r="AM180" s="52">
        <f t="shared" si="82"/>
        <v>0</v>
      </c>
      <c r="AN180" s="52">
        <f t="shared" si="82"/>
        <v>0</v>
      </c>
      <c r="AO180" s="72">
        <v>120</v>
      </c>
      <c r="AP180" s="74">
        <f t="shared" si="302"/>
        <v>25.800000000000011</v>
      </c>
      <c r="AQ180" s="76">
        <f>+(0)+(0)+(0)+(0)+(54)+(0)</f>
        <v>54</v>
      </c>
      <c r="AR180" s="76">
        <f t="shared" si="83"/>
        <v>0</v>
      </c>
      <c r="AS180" s="74">
        <v>79.8</v>
      </c>
      <c r="AT180" s="74">
        <f t="shared" si="303"/>
        <v>0</v>
      </c>
      <c r="AU180" s="73">
        <f t="shared" si="257"/>
        <v>0</v>
      </c>
      <c r="AV180" s="73">
        <f>+(0)+(0)+(0)+(0)+(0)+(0)+(0)+(120)</f>
        <v>120</v>
      </c>
      <c r="AW180" s="74">
        <v>120</v>
      </c>
      <c r="AX180" s="74">
        <f t="shared" si="314"/>
        <v>0</v>
      </c>
      <c r="AY180" s="109">
        <f>+(0)+(0)+(60)+(21)</f>
        <v>81</v>
      </c>
      <c r="AZ180" s="109">
        <f>+(30)+(0)+(0)+(0)+(30)+(30)+(30)+(54.6)</f>
        <v>174.6</v>
      </c>
      <c r="BA180" s="61">
        <v>120</v>
      </c>
      <c r="BB180" s="61">
        <f t="shared" si="318"/>
        <v>135.6</v>
      </c>
      <c r="BD180" s="153">
        <v>78</v>
      </c>
      <c r="BE180" s="88">
        <v>0</v>
      </c>
      <c r="BF180" s="88">
        <v>0</v>
      </c>
      <c r="BG180" s="88">
        <v>0</v>
      </c>
      <c r="BH180" s="88">
        <v>0</v>
      </c>
      <c r="BI180" s="88">
        <v>0</v>
      </c>
      <c r="BJ180" s="88">
        <v>0</v>
      </c>
      <c r="BK180" s="88">
        <v>0</v>
      </c>
      <c r="BL180" s="88">
        <v>0</v>
      </c>
      <c r="BM180" s="88">
        <v>0</v>
      </c>
      <c r="BN180" s="88">
        <v>0</v>
      </c>
      <c r="BO180" s="88">
        <v>0</v>
      </c>
      <c r="BP180" s="210">
        <v>120</v>
      </c>
      <c r="BQ180" s="208">
        <f t="shared" si="214"/>
        <v>93.6</v>
      </c>
      <c r="BR180" s="175">
        <f t="shared" si="213"/>
        <v>2345.8999999999996</v>
      </c>
    </row>
    <row r="181" spans="1:70" ht="25.8" thickBot="1" x14ac:dyDescent="0.65">
      <c r="A181" s="64">
        <v>173</v>
      </c>
      <c r="B181" s="166" t="s">
        <v>445</v>
      </c>
      <c r="C181" s="156" t="s">
        <v>21</v>
      </c>
      <c r="D181" s="170">
        <v>45397</v>
      </c>
      <c r="E181" s="168">
        <v>2</v>
      </c>
      <c r="F181" s="160">
        <f t="shared" si="276"/>
        <v>1066.6600000000001</v>
      </c>
      <c r="G181" s="160">
        <f t="shared" ref="G181" si="319">+BR181</f>
        <v>908.4</v>
      </c>
      <c r="H181" s="161">
        <f t="shared" ref="H181" si="320">+F181+G181</f>
        <v>1975.06</v>
      </c>
      <c r="I181" s="162">
        <v>13</v>
      </c>
      <c r="J181" s="88">
        <v>13</v>
      </c>
      <c r="L181" s="169">
        <v>46562</v>
      </c>
      <c r="M181" s="164"/>
      <c r="N181" s="165" t="str">
        <f t="shared" ca="1" si="316"/>
        <v>O.K.</v>
      </c>
      <c r="W181" s="1" t="s">
        <v>445</v>
      </c>
      <c r="X181" s="68">
        <v>458.4</v>
      </c>
      <c r="Y181" s="48">
        <v>0</v>
      </c>
      <c r="Z181" s="49">
        <v>0</v>
      </c>
      <c r="AA181" s="49">
        <v>0</v>
      </c>
      <c r="AB181" s="49">
        <v>0</v>
      </c>
      <c r="AC181" s="31">
        <v>0</v>
      </c>
      <c r="AD181" s="28">
        <f t="shared" si="278"/>
        <v>0</v>
      </c>
      <c r="AE181" s="52">
        <v>0</v>
      </c>
      <c r="AF181" s="52">
        <v>0</v>
      </c>
      <c r="AG181" s="49">
        <v>0</v>
      </c>
      <c r="AH181" s="22">
        <f t="shared" si="315"/>
        <v>0</v>
      </c>
      <c r="AI181" s="52">
        <v>0</v>
      </c>
      <c r="AJ181" s="52">
        <v>0</v>
      </c>
      <c r="AK181" s="49">
        <v>0</v>
      </c>
      <c r="AL181" s="31">
        <f t="shared" si="317"/>
        <v>0</v>
      </c>
      <c r="AM181" s="52">
        <v>0</v>
      </c>
      <c r="AN181" s="52">
        <v>0</v>
      </c>
      <c r="AO181" s="72">
        <v>0</v>
      </c>
      <c r="AP181" s="74">
        <f t="shared" si="302"/>
        <v>0</v>
      </c>
      <c r="AQ181" s="76">
        <v>0</v>
      </c>
      <c r="AR181" s="76">
        <v>0</v>
      </c>
      <c r="AS181" s="74">
        <v>0</v>
      </c>
      <c r="AT181" s="74">
        <f t="shared" si="303"/>
        <v>0</v>
      </c>
      <c r="AU181" s="73">
        <f t="shared" si="257"/>
        <v>0</v>
      </c>
      <c r="AV181" s="73">
        <f>+(0)+(0)+(0)+(0)+(0)+(78)+(54.6)+(54)</f>
        <v>186.6</v>
      </c>
      <c r="AW181" s="74">
        <v>150</v>
      </c>
      <c r="AX181" s="74">
        <f t="shared" ref="AX181" si="321">+AT181+AU181+AV181-AW181</f>
        <v>36.599999999999994</v>
      </c>
      <c r="AY181" s="109">
        <f>+(0)+(0)+(54)+(108)</f>
        <v>162</v>
      </c>
      <c r="AZ181" s="109">
        <f>+(54)+(0)+(78)+(0)+(78)+(0)+(0)+(0)</f>
        <v>210</v>
      </c>
      <c r="BA181" s="61">
        <v>150</v>
      </c>
      <c r="BB181" s="61">
        <f t="shared" si="318"/>
        <v>258.60000000000002</v>
      </c>
      <c r="BD181" s="88">
        <v>0</v>
      </c>
      <c r="BE181" s="88">
        <v>0</v>
      </c>
      <c r="BF181" s="88">
        <v>0</v>
      </c>
      <c r="BG181" s="88">
        <v>0</v>
      </c>
      <c r="BH181" s="88">
        <v>0</v>
      </c>
      <c r="BI181" s="88">
        <v>0</v>
      </c>
      <c r="BJ181" s="88">
        <v>0</v>
      </c>
      <c r="BK181" s="88">
        <v>0</v>
      </c>
      <c r="BL181" s="88">
        <v>0</v>
      </c>
      <c r="BM181" s="88">
        <v>0</v>
      </c>
      <c r="BN181" s="88">
        <v>0</v>
      </c>
      <c r="BO181" s="88">
        <v>0</v>
      </c>
      <c r="BP181" s="210">
        <v>150</v>
      </c>
      <c r="BQ181" s="208">
        <f t="shared" si="214"/>
        <v>108.60000000000002</v>
      </c>
      <c r="BR181" s="175">
        <f t="shared" si="213"/>
        <v>908.4</v>
      </c>
    </row>
    <row r="182" spans="1:70" ht="25.8" thickBot="1" x14ac:dyDescent="0.65">
      <c r="A182" s="64">
        <v>174</v>
      </c>
      <c r="B182" s="166" t="s">
        <v>97</v>
      </c>
      <c r="C182" s="156" t="s">
        <v>171</v>
      </c>
      <c r="D182" s="166" t="s">
        <v>162</v>
      </c>
      <c r="E182" s="168">
        <v>6</v>
      </c>
      <c r="F182" s="160">
        <f t="shared" si="276"/>
        <v>3199.9800000000005</v>
      </c>
      <c r="G182" s="160">
        <f t="shared" si="301"/>
        <v>1370.4</v>
      </c>
      <c r="H182" s="161">
        <f t="shared" si="277"/>
        <v>4570.380000000001</v>
      </c>
      <c r="I182" s="162">
        <v>10</v>
      </c>
      <c r="J182" s="88">
        <v>10</v>
      </c>
      <c r="L182" s="169">
        <v>46492</v>
      </c>
      <c r="M182" s="164"/>
      <c r="N182" s="165" t="str">
        <f t="shared" ca="1" si="316"/>
        <v>O.K.</v>
      </c>
      <c r="W182" s="1" t="s">
        <v>97</v>
      </c>
      <c r="X182" s="50">
        <v>120</v>
      </c>
      <c r="Y182" s="48">
        <v>96</v>
      </c>
      <c r="Z182" s="49">
        <v>96</v>
      </c>
      <c r="AA182" s="49">
        <v>120</v>
      </c>
      <c r="AB182" s="49">
        <v>120</v>
      </c>
      <c r="AC182" s="31">
        <v>156</v>
      </c>
      <c r="AD182" s="28">
        <f t="shared" si="278"/>
        <v>36</v>
      </c>
      <c r="AE182" s="52">
        <v>78</v>
      </c>
      <c r="AF182" s="52">
        <f>+(0)+(92.4)+(0)+(0)+(0)+(54)</f>
        <v>146.4</v>
      </c>
      <c r="AG182" s="49">
        <v>120</v>
      </c>
      <c r="AH182" s="22">
        <f t="shared" si="315"/>
        <v>140.39999999999998</v>
      </c>
      <c r="AI182" s="52">
        <f>+(0)+(0)+(0)+(0)+(78)+(0)</f>
        <v>78</v>
      </c>
      <c r="AJ182" s="52">
        <f t="shared" si="81"/>
        <v>0</v>
      </c>
      <c r="AK182" s="49">
        <v>120</v>
      </c>
      <c r="AL182" s="31">
        <f t="shared" si="317"/>
        <v>98.399999999999977</v>
      </c>
      <c r="AM182" s="52">
        <f t="shared" si="82"/>
        <v>0</v>
      </c>
      <c r="AN182" s="52">
        <f t="shared" si="82"/>
        <v>0</v>
      </c>
      <c r="AO182" s="72">
        <v>98.4</v>
      </c>
      <c r="AP182" s="74">
        <f t="shared" si="302"/>
        <v>0</v>
      </c>
      <c r="AQ182" s="76">
        <f t="shared" si="83"/>
        <v>0</v>
      </c>
      <c r="AR182" s="76">
        <f>+(0)+(168)+(0)+(0)+(0)+(0)</f>
        <v>168</v>
      </c>
      <c r="AS182" s="74">
        <v>120</v>
      </c>
      <c r="AT182" s="74">
        <f t="shared" si="303"/>
        <v>48</v>
      </c>
      <c r="AU182" s="73">
        <f>+(0)+(0)+(0)+(21.6)</f>
        <v>21.6</v>
      </c>
      <c r="AV182" s="73">
        <f>+(0)+(0)+(0)+(0)+(0)+(0)+(0)+(210)</f>
        <v>210</v>
      </c>
      <c r="AW182" s="74">
        <v>120</v>
      </c>
      <c r="AX182" s="74">
        <f t="shared" si="314"/>
        <v>159.60000000000002</v>
      </c>
      <c r="AY182" s="109">
        <f>+(0)+(30)+(0)+(0)</f>
        <v>30</v>
      </c>
      <c r="AZ182" s="109">
        <f>+(0)+(0)+(0)+(0)+(0)+(0)+(0)+(109.2)</f>
        <v>109.2</v>
      </c>
      <c r="BA182" s="61">
        <v>120</v>
      </c>
      <c r="BB182" s="61">
        <f t="shared" si="318"/>
        <v>178.8</v>
      </c>
      <c r="BD182" s="88">
        <v>0</v>
      </c>
      <c r="BE182" s="88">
        <v>0</v>
      </c>
      <c r="BF182" s="88">
        <v>0</v>
      </c>
      <c r="BG182" s="88">
        <v>0</v>
      </c>
      <c r="BH182" s="88">
        <v>0</v>
      </c>
      <c r="BI182" s="88">
        <v>0</v>
      </c>
      <c r="BJ182" s="88">
        <v>0</v>
      </c>
      <c r="BK182" s="88">
        <v>0</v>
      </c>
      <c r="BL182" s="88">
        <v>0</v>
      </c>
      <c r="BM182" s="88">
        <v>0</v>
      </c>
      <c r="BN182" s="88">
        <v>0</v>
      </c>
      <c r="BO182" s="88">
        <v>0</v>
      </c>
      <c r="BP182" s="210">
        <v>120</v>
      </c>
      <c r="BQ182" s="208">
        <f t="shared" si="214"/>
        <v>58.800000000000011</v>
      </c>
      <c r="BR182" s="175">
        <f t="shared" si="213"/>
        <v>1370.4</v>
      </c>
    </row>
    <row r="183" spans="1:70" ht="25.8" thickBot="1" x14ac:dyDescent="0.65">
      <c r="A183" s="64">
        <v>175</v>
      </c>
      <c r="B183" s="112" t="s">
        <v>454</v>
      </c>
      <c r="C183" s="113" t="s">
        <v>23</v>
      </c>
      <c r="D183" s="114">
        <v>45499</v>
      </c>
      <c r="E183" s="115">
        <v>1</v>
      </c>
      <c r="F183" s="116">
        <f t="shared" si="276"/>
        <v>533.33000000000004</v>
      </c>
      <c r="G183" s="116">
        <f t="shared" ref="G183" si="322">+BR183</f>
        <v>402</v>
      </c>
      <c r="H183" s="117">
        <f t="shared" ref="H183" si="323">+F183+G183</f>
        <v>935.33</v>
      </c>
      <c r="I183" s="118">
        <v>14</v>
      </c>
      <c r="J183" s="88">
        <v>14</v>
      </c>
      <c r="L183" s="122">
        <v>46235</v>
      </c>
      <c r="M183" s="120"/>
      <c r="N183" s="121" t="str">
        <f t="shared" ca="1" si="316"/>
        <v>O.K.</v>
      </c>
      <c r="W183" s="1" t="s">
        <v>454</v>
      </c>
      <c r="X183" s="68">
        <v>162</v>
      </c>
      <c r="Y183" s="48"/>
      <c r="Z183" s="49"/>
      <c r="AA183" s="49"/>
      <c r="AB183" s="49"/>
      <c r="AC183" s="31"/>
      <c r="AD183" s="28"/>
      <c r="AE183" s="52"/>
      <c r="AF183" s="52"/>
      <c r="AG183" s="49"/>
      <c r="AH183" s="22"/>
      <c r="AI183" s="52"/>
      <c r="AJ183" s="52"/>
      <c r="AK183" s="49"/>
      <c r="AL183" s="31"/>
      <c r="AM183" s="52"/>
      <c r="AN183" s="52"/>
      <c r="AO183" s="72"/>
      <c r="AP183" s="74"/>
      <c r="AQ183" s="76"/>
      <c r="AR183" s="76"/>
      <c r="AS183" s="74"/>
      <c r="AT183" s="74"/>
      <c r="AU183" s="73">
        <f t="shared" si="257"/>
        <v>0</v>
      </c>
      <c r="AV183" s="73">
        <f t="shared" si="266"/>
        <v>0</v>
      </c>
      <c r="AW183" s="73">
        <v>0</v>
      </c>
      <c r="AX183" s="73">
        <f t="shared" si="314"/>
        <v>0</v>
      </c>
      <c r="AY183" s="109">
        <f>+(0)+(108)+(0)+(78)</f>
        <v>186</v>
      </c>
      <c r="AZ183" s="109">
        <f>+(0)+(30)+(30)+(0)+(186)+(78)+(0)+(54.6)</f>
        <v>378.6</v>
      </c>
      <c r="BA183" s="61">
        <v>120</v>
      </c>
      <c r="BB183" s="61">
        <f t="shared" si="318"/>
        <v>444.6</v>
      </c>
      <c r="BD183" s="153">
        <v>78</v>
      </c>
      <c r="BE183" s="153">
        <v>78</v>
      </c>
      <c r="BF183" s="88">
        <v>0</v>
      </c>
      <c r="BG183" s="88">
        <v>0</v>
      </c>
      <c r="BH183" s="88">
        <v>0</v>
      </c>
      <c r="BI183" s="88">
        <v>0</v>
      </c>
      <c r="BJ183" s="88">
        <v>0</v>
      </c>
      <c r="BK183" s="88">
        <v>0</v>
      </c>
      <c r="BL183" s="88">
        <v>0</v>
      </c>
      <c r="BM183" s="88">
        <v>0</v>
      </c>
      <c r="BN183" s="88">
        <v>0</v>
      </c>
      <c r="BO183" s="88">
        <v>0</v>
      </c>
      <c r="BP183" s="210">
        <v>120</v>
      </c>
      <c r="BQ183" s="208">
        <f t="shared" si="214"/>
        <v>480.6</v>
      </c>
      <c r="BR183" s="175">
        <f t="shared" si="213"/>
        <v>402</v>
      </c>
    </row>
    <row r="184" spans="1:70" ht="25.8" thickBot="1" x14ac:dyDescent="0.65">
      <c r="A184" s="64">
        <v>176</v>
      </c>
      <c r="B184" s="166" t="s">
        <v>498</v>
      </c>
      <c r="C184" s="156" t="s">
        <v>23</v>
      </c>
      <c r="D184" s="167">
        <v>45825</v>
      </c>
      <c r="E184" s="168">
        <v>0</v>
      </c>
      <c r="F184" s="160">
        <f t="shared" si="276"/>
        <v>0</v>
      </c>
      <c r="G184" s="160">
        <f t="shared" ref="G184" si="324">+BR184</f>
        <v>0</v>
      </c>
      <c r="H184" s="161">
        <f t="shared" ref="H184" si="325">+F184+G184</f>
        <v>0</v>
      </c>
      <c r="I184" s="162">
        <v>15</v>
      </c>
      <c r="J184" s="88">
        <v>15</v>
      </c>
      <c r="L184" s="169">
        <v>46555</v>
      </c>
      <c r="M184" s="164"/>
      <c r="N184" s="165" t="str">
        <f t="shared" ca="1" si="316"/>
        <v>O.K.</v>
      </c>
      <c r="W184" s="1" t="s">
        <v>498</v>
      </c>
      <c r="X184" s="50"/>
      <c r="Y184" s="48"/>
      <c r="Z184" s="49"/>
      <c r="AA184" s="49"/>
      <c r="AB184" s="49"/>
      <c r="AC184" s="31"/>
      <c r="AD184" s="28"/>
      <c r="AE184" s="52"/>
      <c r="AF184" s="52"/>
      <c r="AG184" s="49"/>
      <c r="AH184" s="22"/>
      <c r="AI184" s="52"/>
      <c r="AJ184" s="52"/>
      <c r="AK184" s="49"/>
      <c r="AL184" s="31"/>
      <c r="AM184" s="52"/>
      <c r="AN184" s="52"/>
      <c r="AO184" s="72"/>
      <c r="AP184" s="74"/>
      <c r="AQ184" s="76"/>
      <c r="AR184" s="76"/>
      <c r="AS184" s="74"/>
      <c r="AT184" s="74"/>
      <c r="AU184" s="73"/>
      <c r="AV184" s="73"/>
      <c r="AW184" s="73"/>
      <c r="AX184" s="73"/>
      <c r="AY184" s="109">
        <f t="shared" si="241"/>
        <v>0</v>
      </c>
      <c r="AZ184" s="109">
        <f t="shared" si="244"/>
        <v>0</v>
      </c>
      <c r="BA184" s="61">
        <v>0</v>
      </c>
      <c r="BB184" s="61">
        <f t="shared" ref="BB184" si="326">(AX184+AY184+AZ184)-BA184</f>
        <v>0</v>
      </c>
      <c r="BD184" s="88">
        <v>0</v>
      </c>
      <c r="BE184" s="88">
        <v>0</v>
      </c>
      <c r="BF184" s="88">
        <v>0</v>
      </c>
      <c r="BG184" s="88">
        <v>0</v>
      </c>
      <c r="BH184" s="88">
        <v>0</v>
      </c>
      <c r="BI184" s="88">
        <v>0</v>
      </c>
      <c r="BJ184" s="88">
        <v>0</v>
      </c>
      <c r="BK184" s="88">
        <v>0</v>
      </c>
      <c r="BL184" s="88">
        <v>0</v>
      </c>
      <c r="BM184" s="88">
        <v>0</v>
      </c>
      <c r="BN184" s="88">
        <v>0</v>
      </c>
      <c r="BO184" s="88">
        <v>0</v>
      </c>
      <c r="BP184" s="210">
        <v>0</v>
      </c>
      <c r="BQ184" s="208">
        <f t="shared" si="214"/>
        <v>0</v>
      </c>
      <c r="BR184" s="175">
        <f t="shared" si="213"/>
        <v>0</v>
      </c>
    </row>
    <row r="185" spans="1:70" ht="25.8" thickBot="1" x14ac:dyDescent="0.65">
      <c r="A185" s="64">
        <v>177</v>
      </c>
      <c r="B185" s="166" t="s">
        <v>357</v>
      </c>
      <c r="C185" s="156" t="s">
        <v>23</v>
      </c>
      <c r="D185" s="167">
        <v>44652</v>
      </c>
      <c r="E185" s="168">
        <v>2</v>
      </c>
      <c r="F185" s="160">
        <f t="shared" si="276"/>
        <v>1066.6600000000001</v>
      </c>
      <c r="G185" s="160">
        <f t="shared" ref="G185" si="327">+BR185</f>
        <v>600</v>
      </c>
      <c r="H185" s="161">
        <f t="shared" ref="H185" si="328">+F185+G185</f>
        <v>1666.66</v>
      </c>
      <c r="I185" s="162">
        <v>13</v>
      </c>
      <c r="J185" s="88">
        <v>13</v>
      </c>
      <c r="L185" s="169">
        <v>46414</v>
      </c>
      <c r="M185" s="164"/>
      <c r="N185" s="165" t="str">
        <f t="shared" ca="1" si="316"/>
        <v>O.K.</v>
      </c>
      <c r="W185" s="1" t="s">
        <v>357</v>
      </c>
      <c r="X185" s="48">
        <v>0</v>
      </c>
      <c r="Y185" s="48">
        <v>0</v>
      </c>
      <c r="Z185" s="49">
        <v>0</v>
      </c>
      <c r="AA185" s="49">
        <v>0</v>
      </c>
      <c r="AB185" s="49">
        <v>0</v>
      </c>
      <c r="AC185" s="31">
        <v>0</v>
      </c>
      <c r="AD185" s="28">
        <f t="shared" si="278"/>
        <v>0</v>
      </c>
      <c r="AE185" s="52">
        <v>0</v>
      </c>
      <c r="AF185" s="52">
        <v>0</v>
      </c>
      <c r="AG185" s="49">
        <v>0</v>
      </c>
      <c r="AH185" s="22">
        <f t="shared" si="315"/>
        <v>0</v>
      </c>
      <c r="AI185" s="52">
        <v>0</v>
      </c>
      <c r="AJ185" s="52">
        <v>0</v>
      </c>
      <c r="AK185" s="49">
        <v>0</v>
      </c>
      <c r="AL185" s="31">
        <f t="shared" si="317"/>
        <v>0</v>
      </c>
      <c r="AM185" s="52">
        <f t="shared" si="82"/>
        <v>0</v>
      </c>
      <c r="AN185" s="52">
        <f>+(0)+(169.8)+(0)+(0)+(0)+(204)</f>
        <v>373.8</v>
      </c>
      <c r="AO185" s="72">
        <v>120</v>
      </c>
      <c r="AP185" s="74">
        <f t="shared" si="302"/>
        <v>253.8</v>
      </c>
      <c r="AQ185" s="76">
        <f>+(96)+(0)+(0)+(0)+(108)+(0)</f>
        <v>204</v>
      </c>
      <c r="AR185" s="76">
        <f>+(0)+(54)+(0)+(0)+(0)+(0)</f>
        <v>54</v>
      </c>
      <c r="AS185" s="74">
        <v>120</v>
      </c>
      <c r="AT185" s="74">
        <f t="shared" si="303"/>
        <v>391.8</v>
      </c>
      <c r="AU185" s="73">
        <f>+(0)+(0)+(0)+(276)</f>
        <v>276</v>
      </c>
      <c r="AV185" s="73">
        <f>+(0)+(0)+(96)+(0)+(0)+(108)+(186)+(0)</f>
        <v>390</v>
      </c>
      <c r="AW185" s="73">
        <v>120</v>
      </c>
      <c r="AX185" s="73">
        <f t="shared" si="314"/>
        <v>937.8</v>
      </c>
      <c r="AY185" s="109">
        <f>+(0)+(0)+(0)+(132)</f>
        <v>132</v>
      </c>
      <c r="AZ185" s="109">
        <f>+(0)+(0)+(0)+(0)+(30)+(156)+(54.6)+(0)</f>
        <v>240.6</v>
      </c>
      <c r="BA185" s="61">
        <v>120</v>
      </c>
      <c r="BB185" s="61">
        <f t="shared" si="318"/>
        <v>1190.3999999999999</v>
      </c>
      <c r="BD185" s="153">
        <v>30</v>
      </c>
      <c r="BE185" s="88">
        <v>0</v>
      </c>
      <c r="BF185" s="88">
        <v>0</v>
      </c>
      <c r="BG185" s="88">
        <v>0</v>
      </c>
      <c r="BH185" s="88">
        <v>0</v>
      </c>
      <c r="BI185" s="88">
        <v>0</v>
      </c>
      <c r="BJ185" s="88">
        <v>0</v>
      </c>
      <c r="BK185" s="88">
        <v>0</v>
      </c>
      <c r="BL185" s="88">
        <v>0</v>
      </c>
      <c r="BM185" s="88">
        <v>0</v>
      </c>
      <c r="BN185" s="88">
        <v>0</v>
      </c>
      <c r="BO185" s="88">
        <v>0</v>
      </c>
      <c r="BP185" s="210">
        <v>120</v>
      </c>
      <c r="BQ185" s="208">
        <f t="shared" si="214"/>
        <v>1100.3999999999999</v>
      </c>
      <c r="BR185" s="175">
        <f t="shared" si="213"/>
        <v>600</v>
      </c>
    </row>
    <row r="186" spans="1:70" ht="25.8" thickBot="1" x14ac:dyDescent="0.65">
      <c r="A186" s="64">
        <v>178</v>
      </c>
      <c r="B186" s="112" t="s">
        <v>252</v>
      </c>
      <c r="C186" s="113" t="s">
        <v>23</v>
      </c>
      <c r="D186" s="123">
        <v>43223</v>
      </c>
      <c r="E186" s="115">
        <v>3</v>
      </c>
      <c r="F186" s="116">
        <f t="shared" si="276"/>
        <v>1599.9900000000002</v>
      </c>
      <c r="G186" s="116">
        <f t="shared" si="301"/>
        <v>1056</v>
      </c>
      <c r="H186" s="117">
        <f t="shared" si="277"/>
        <v>2655.9900000000002</v>
      </c>
      <c r="I186" s="118">
        <v>12</v>
      </c>
      <c r="J186" s="88">
        <v>12</v>
      </c>
      <c r="L186" s="122">
        <v>46145</v>
      </c>
      <c r="M186" s="120"/>
      <c r="N186" s="121" t="str">
        <f t="shared" ca="1" si="316"/>
        <v>O.K.</v>
      </c>
      <c r="W186" s="1" t="s">
        <v>252</v>
      </c>
      <c r="X186" s="50">
        <v>0</v>
      </c>
      <c r="Y186" s="48">
        <v>0</v>
      </c>
      <c r="Z186" s="49">
        <v>0</v>
      </c>
      <c r="AA186" s="49">
        <v>96</v>
      </c>
      <c r="AB186" s="49">
        <v>120</v>
      </c>
      <c r="AC186" s="31">
        <v>156</v>
      </c>
      <c r="AD186" s="28">
        <f t="shared" si="278"/>
        <v>36</v>
      </c>
      <c r="AE186" s="52">
        <v>210</v>
      </c>
      <c r="AF186" s="52">
        <f>+(37.8)+(0)+(0)+(0)+(0)+(216)</f>
        <v>253.8</v>
      </c>
      <c r="AG186" s="49">
        <v>120</v>
      </c>
      <c r="AH186" s="22">
        <f t="shared" si="315"/>
        <v>379.8</v>
      </c>
      <c r="AI186" s="52">
        <f t="shared" si="81"/>
        <v>0</v>
      </c>
      <c r="AJ186" s="52">
        <f>+(0)+(156)+(0)+(0)+(0)+(0)</f>
        <v>156</v>
      </c>
      <c r="AK186" s="49">
        <v>120</v>
      </c>
      <c r="AL186" s="31">
        <f t="shared" si="317"/>
        <v>415.79999999999995</v>
      </c>
      <c r="AM186" s="52">
        <f t="shared" si="82"/>
        <v>0</v>
      </c>
      <c r="AN186" s="52">
        <f t="shared" si="82"/>
        <v>0</v>
      </c>
      <c r="AO186" s="72">
        <v>120</v>
      </c>
      <c r="AP186" s="74">
        <f t="shared" si="302"/>
        <v>295.79999999999995</v>
      </c>
      <c r="AQ186" s="76">
        <f>+(0)+(0)+(0)+(0)+(78)+(0)</f>
        <v>78</v>
      </c>
      <c r="AR186" s="76">
        <f t="shared" si="83"/>
        <v>0</v>
      </c>
      <c r="AS186" s="74">
        <v>120</v>
      </c>
      <c r="AT186" s="74">
        <f t="shared" si="303"/>
        <v>253.79999999999995</v>
      </c>
      <c r="AU186" s="73">
        <f t="shared" si="257"/>
        <v>0</v>
      </c>
      <c r="AV186" s="73">
        <f>+(0)+(0)+(96)+(0)+(0)+(0)+(0)+(0)</f>
        <v>96</v>
      </c>
      <c r="AW186" s="73">
        <v>120</v>
      </c>
      <c r="AX186" s="73">
        <f t="shared" si="314"/>
        <v>229.79999999999995</v>
      </c>
      <c r="AY186" s="109">
        <f>+(0)+(0)+(0)+(31.2)</f>
        <v>31.2</v>
      </c>
      <c r="AZ186" s="109">
        <f>+(0)+(0)+(0)+(0)+(0)+(78)+(0)+(0)</f>
        <v>78</v>
      </c>
      <c r="BA186" s="61">
        <v>120</v>
      </c>
      <c r="BB186" s="61">
        <f t="shared" si="318"/>
        <v>218.99999999999994</v>
      </c>
      <c r="BD186" s="88">
        <v>0</v>
      </c>
      <c r="BE186" s="88">
        <v>0</v>
      </c>
      <c r="BF186" s="88">
        <v>0</v>
      </c>
      <c r="BG186" s="88">
        <v>0</v>
      </c>
      <c r="BH186" s="88">
        <v>0</v>
      </c>
      <c r="BI186" s="88">
        <v>0</v>
      </c>
      <c r="BJ186" s="88">
        <v>0</v>
      </c>
      <c r="BK186" s="88">
        <v>0</v>
      </c>
      <c r="BL186" s="88">
        <v>0</v>
      </c>
      <c r="BM186" s="88">
        <v>0</v>
      </c>
      <c r="BN186" s="88">
        <v>0</v>
      </c>
      <c r="BO186" s="88">
        <v>0</v>
      </c>
      <c r="BP186" s="210">
        <v>120</v>
      </c>
      <c r="BQ186" s="208">
        <f t="shared" si="214"/>
        <v>98.999999999999943</v>
      </c>
      <c r="BR186" s="175">
        <f t="shared" si="213"/>
        <v>1056</v>
      </c>
    </row>
    <row r="187" spans="1:70" ht="25.8" thickBot="1" x14ac:dyDescent="0.65">
      <c r="A187" s="64">
        <v>179</v>
      </c>
      <c r="B187" s="181" t="s">
        <v>345</v>
      </c>
      <c r="C187" s="182" t="s">
        <v>20</v>
      </c>
      <c r="D187" s="190">
        <v>44531</v>
      </c>
      <c r="E187" s="184">
        <v>2</v>
      </c>
      <c r="F187" s="185">
        <f t="shared" si="276"/>
        <v>1066.6600000000001</v>
      </c>
      <c r="G187" s="185">
        <f t="shared" si="301"/>
        <v>696</v>
      </c>
      <c r="H187" s="186">
        <f t="shared" si="277"/>
        <v>1762.66</v>
      </c>
      <c r="I187" s="187">
        <v>13</v>
      </c>
      <c r="J187" s="88">
        <v>13</v>
      </c>
      <c r="K187" s="134" t="s">
        <v>307</v>
      </c>
      <c r="L187" s="199">
        <v>46722</v>
      </c>
      <c r="M187" s="191"/>
      <c r="N187" s="189" t="str">
        <f t="shared" ca="1" si="316"/>
        <v>O.K.</v>
      </c>
      <c r="W187" s="1" t="s">
        <v>345</v>
      </c>
      <c r="X187" s="50">
        <v>0</v>
      </c>
      <c r="Y187" s="48">
        <v>0</v>
      </c>
      <c r="Z187" s="49">
        <v>0</v>
      </c>
      <c r="AA187" s="49">
        <v>0</v>
      </c>
      <c r="AB187" s="49">
        <v>0</v>
      </c>
      <c r="AC187" s="31">
        <v>0</v>
      </c>
      <c r="AD187" s="28">
        <f t="shared" si="278"/>
        <v>0</v>
      </c>
      <c r="AE187" s="52">
        <v>0</v>
      </c>
      <c r="AF187" s="52">
        <v>0</v>
      </c>
      <c r="AG187" s="49">
        <v>0</v>
      </c>
      <c r="AH187" s="22">
        <f t="shared" si="315"/>
        <v>0</v>
      </c>
      <c r="AI187" s="52">
        <f t="shared" si="81"/>
        <v>0</v>
      </c>
      <c r="AJ187" s="52">
        <f t="shared" si="81"/>
        <v>0</v>
      </c>
      <c r="AK187" s="49">
        <v>0</v>
      </c>
      <c r="AL187" s="31">
        <f t="shared" si="317"/>
        <v>0</v>
      </c>
      <c r="AM187" s="52">
        <f t="shared" si="82"/>
        <v>0</v>
      </c>
      <c r="AN187" s="52">
        <f>+(0)+(0)+(0)+(0)+(0)+(96)</f>
        <v>96</v>
      </c>
      <c r="AO187" s="72">
        <v>96</v>
      </c>
      <c r="AP187" s="74">
        <f t="shared" si="302"/>
        <v>0</v>
      </c>
      <c r="AQ187" s="76">
        <f>+(0)+(0)+(0)+(0)+(54)+(0)</f>
        <v>54</v>
      </c>
      <c r="AR187" s="76">
        <f>+(0)+(378)+(0)+(0)+(0)+(0)</f>
        <v>378</v>
      </c>
      <c r="AS187" s="74">
        <v>150</v>
      </c>
      <c r="AT187" s="74">
        <f t="shared" si="303"/>
        <v>282</v>
      </c>
      <c r="AU187" s="73">
        <f>+(37.8)+(0)+(0)+(76.2)</f>
        <v>114</v>
      </c>
      <c r="AV187" s="73">
        <f>+(0)+(0)+(120)+(0)+(0)+(0)+(0)+(0)</f>
        <v>120</v>
      </c>
      <c r="AW187" s="73">
        <v>150</v>
      </c>
      <c r="AX187" s="73">
        <f>+AT187+AU187+AV187-AW187</f>
        <v>366</v>
      </c>
      <c r="AY187" s="109">
        <f t="shared" si="241"/>
        <v>0</v>
      </c>
      <c r="AZ187" s="109">
        <f t="shared" si="244"/>
        <v>0</v>
      </c>
      <c r="BA187" s="61">
        <v>150</v>
      </c>
      <c r="BB187" s="61">
        <f t="shared" si="318"/>
        <v>216</v>
      </c>
      <c r="BD187" s="153">
        <v>30</v>
      </c>
      <c r="BE187" s="88">
        <v>0</v>
      </c>
      <c r="BF187" s="88">
        <v>0</v>
      </c>
      <c r="BG187" s="88">
        <v>0</v>
      </c>
      <c r="BH187" s="88">
        <v>0</v>
      </c>
      <c r="BI187" s="88">
        <v>0</v>
      </c>
      <c r="BJ187" s="88">
        <v>0</v>
      </c>
      <c r="BK187" s="88">
        <v>0</v>
      </c>
      <c r="BL187" s="88">
        <v>0</v>
      </c>
      <c r="BM187" s="88">
        <v>0</v>
      </c>
      <c r="BN187" s="88">
        <v>0</v>
      </c>
      <c r="BO187" s="88">
        <v>0</v>
      </c>
      <c r="BP187" s="210">
        <v>150</v>
      </c>
      <c r="BQ187" s="208">
        <f t="shared" si="214"/>
        <v>96</v>
      </c>
      <c r="BR187" s="175">
        <f t="shared" si="213"/>
        <v>696</v>
      </c>
    </row>
    <row r="188" spans="1:70" ht="25.8" thickBot="1" x14ac:dyDescent="0.65">
      <c r="A188" s="64">
        <v>180</v>
      </c>
      <c r="B188" s="166" t="s">
        <v>521</v>
      </c>
      <c r="C188" s="156" t="s">
        <v>171</v>
      </c>
      <c r="D188" s="170">
        <v>45931</v>
      </c>
      <c r="E188" s="168">
        <v>0</v>
      </c>
      <c r="F188" s="160">
        <f t="shared" ref="F188" si="329">+E188*$C$1</f>
        <v>0</v>
      </c>
      <c r="G188" s="160">
        <f t="shared" ref="G188" si="330">+BR188</f>
        <v>0</v>
      </c>
      <c r="H188" s="161">
        <f t="shared" ref="H188" si="331">+F188+G188</f>
        <v>0</v>
      </c>
      <c r="I188" s="162">
        <v>15</v>
      </c>
      <c r="J188" s="88">
        <v>15</v>
      </c>
      <c r="L188" s="194">
        <v>46661</v>
      </c>
      <c r="M188" s="164"/>
      <c r="N188" s="165" t="str">
        <f t="shared" ca="1" si="316"/>
        <v>O.K.</v>
      </c>
      <c r="W188" s="1" t="s">
        <v>521</v>
      </c>
      <c r="X188" s="50"/>
      <c r="Y188" s="48"/>
      <c r="Z188" s="49"/>
      <c r="AA188" s="49"/>
      <c r="AB188" s="49"/>
      <c r="AC188" s="31"/>
      <c r="AD188" s="28"/>
      <c r="AE188" s="52"/>
      <c r="AF188" s="52"/>
      <c r="AG188" s="49"/>
      <c r="AH188" s="22"/>
      <c r="AI188" s="52"/>
      <c r="AJ188" s="52"/>
      <c r="AK188" s="49"/>
      <c r="AL188" s="31"/>
      <c r="AM188" s="52"/>
      <c r="AN188" s="52"/>
      <c r="AO188" s="72"/>
      <c r="AP188" s="74"/>
      <c r="AQ188" s="76"/>
      <c r="AR188" s="76"/>
      <c r="AS188" s="74"/>
      <c r="AT188" s="74"/>
      <c r="AU188" s="73"/>
      <c r="AV188" s="73"/>
      <c r="AW188" s="73"/>
      <c r="AX188" s="73"/>
      <c r="AY188" s="109"/>
      <c r="AZ188" s="109"/>
      <c r="BA188" s="61"/>
      <c r="BB188" s="61"/>
      <c r="BD188" s="88">
        <v>0</v>
      </c>
      <c r="BE188" s="88">
        <v>0</v>
      </c>
      <c r="BF188" s="88">
        <v>0</v>
      </c>
      <c r="BG188" s="88">
        <v>0</v>
      </c>
      <c r="BH188" s="88">
        <v>0</v>
      </c>
      <c r="BI188" s="88">
        <v>0</v>
      </c>
      <c r="BJ188" s="88">
        <v>0</v>
      </c>
      <c r="BK188" s="88">
        <v>0</v>
      </c>
      <c r="BL188" s="88">
        <v>0</v>
      </c>
      <c r="BM188" s="88">
        <v>0</v>
      </c>
      <c r="BN188" s="88">
        <v>0</v>
      </c>
      <c r="BO188" s="88">
        <v>0</v>
      </c>
      <c r="BP188" s="210">
        <v>0</v>
      </c>
      <c r="BQ188" s="208">
        <f t="shared" ref="BQ188" si="332">+BB188+SUM(BD188:BG188)+SUM(BH188:BO188)-BP188</f>
        <v>0</v>
      </c>
      <c r="BR188" s="175">
        <f t="shared" ref="BR188" si="333">SUM(X188:AA188)+AB188+AG188+AK188+AO188+AS188+AW188+BA188+BP188</f>
        <v>0</v>
      </c>
    </row>
    <row r="189" spans="1:70" ht="25.8" thickBot="1" x14ac:dyDescent="0.65">
      <c r="A189" s="64">
        <v>181</v>
      </c>
      <c r="B189" s="181" t="s">
        <v>519</v>
      </c>
      <c r="C189" s="182" t="s">
        <v>19</v>
      </c>
      <c r="D189" s="190">
        <v>45905</v>
      </c>
      <c r="E189" s="184">
        <v>0</v>
      </c>
      <c r="F189" s="185">
        <f t="shared" ref="F189" si="334">+E189*$C$1</f>
        <v>0</v>
      </c>
      <c r="G189" s="185">
        <f t="shared" ref="G189" si="335">+BR189</f>
        <v>0</v>
      </c>
      <c r="H189" s="186">
        <f t="shared" ref="H189" si="336">+F189+G189</f>
        <v>0</v>
      </c>
      <c r="I189" s="187">
        <v>15</v>
      </c>
      <c r="J189" s="88">
        <v>15</v>
      </c>
      <c r="L189" s="180" t="s">
        <v>442</v>
      </c>
      <c r="M189" s="188"/>
      <c r="N189" s="189"/>
      <c r="W189" s="1" t="s">
        <v>517</v>
      </c>
      <c r="X189" s="50"/>
      <c r="Y189" s="48"/>
      <c r="Z189" s="49"/>
      <c r="AA189" s="49"/>
      <c r="AB189" s="49"/>
      <c r="AC189" s="31"/>
      <c r="AD189" s="28"/>
      <c r="AE189" s="52"/>
      <c r="AF189" s="52"/>
      <c r="AG189" s="49"/>
      <c r="AH189" s="22"/>
      <c r="AI189" s="52"/>
      <c r="AJ189" s="52"/>
      <c r="AK189" s="49"/>
      <c r="AL189" s="31"/>
      <c r="AM189" s="52"/>
      <c r="AN189" s="52"/>
      <c r="AO189" s="72"/>
      <c r="AP189" s="74"/>
      <c r="AQ189" s="76"/>
      <c r="AR189" s="76"/>
      <c r="AS189" s="74"/>
      <c r="AT189" s="74"/>
      <c r="AU189" s="73"/>
      <c r="AV189" s="73"/>
      <c r="AW189" s="73"/>
      <c r="AX189" s="73"/>
      <c r="AY189" s="109"/>
      <c r="AZ189" s="109"/>
      <c r="BA189" s="61"/>
      <c r="BB189" s="61"/>
      <c r="BD189" s="88">
        <v>0</v>
      </c>
      <c r="BE189" s="88">
        <v>0</v>
      </c>
      <c r="BF189" s="88">
        <v>0</v>
      </c>
      <c r="BG189" s="88">
        <v>0</v>
      </c>
      <c r="BH189" s="88">
        <v>0</v>
      </c>
      <c r="BI189" s="88">
        <v>0</v>
      </c>
      <c r="BJ189" s="88">
        <v>0</v>
      </c>
      <c r="BK189" s="88">
        <v>0</v>
      </c>
      <c r="BL189" s="88">
        <v>0</v>
      </c>
      <c r="BM189" s="88">
        <v>0</v>
      </c>
      <c r="BN189" s="88">
        <v>0</v>
      </c>
      <c r="BO189" s="88">
        <v>0</v>
      </c>
      <c r="BP189" s="210">
        <v>0</v>
      </c>
      <c r="BQ189" s="208">
        <f t="shared" ref="BQ189" si="337">+BB189+SUM(BD189:BG189)+SUM(BH189:BO189)-BP189</f>
        <v>0</v>
      </c>
      <c r="BR189" s="175">
        <f t="shared" ref="BR189" si="338">SUM(X189:AA189)+AB189+AG189+AK189+AO189+AS189+AW189+BA189+BP189</f>
        <v>0</v>
      </c>
    </row>
    <row r="190" spans="1:70" ht="25.8" thickBot="1" x14ac:dyDescent="0.65">
      <c r="A190" s="64">
        <v>182</v>
      </c>
      <c r="B190" s="166" t="s">
        <v>200</v>
      </c>
      <c r="C190" s="156" t="s">
        <v>20</v>
      </c>
      <c r="D190" s="170">
        <v>42446</v>
      </c>
      <c r="E190" s="168">
        <v>5</v>
      </c>
      <c r="F190" s="160">
        <f t="shared" si="276"/>
        <v>2666.65</v>
      </c>
      <c r="G190" s="160">
        <f t="shared" si="301"/>
        <v>1500</v>
      </c>
      <c r="H190" s="161">
        <f t="shared" si="277"/>
        <v>4166.6499999999996</v>
      </c>
      <c r="I190" s="162">
        <v>11</v>
      </c>
      <c r="J190" s="88">
        <v>11</v>
      </c>
      <c r="L190" s="169">
        <v>46576</v>
      </c>
      <c r="M190" s="164"/>
      <c r="N190" s="165" t="str">
        <f t="shared" ca="1" si="316"/>
        <v>O.K.</v>
      </c>
      <c r="W190" s="1" t="s">
        <v>200</v>
      </c>
      <c r="X190" s="50">
        <v>0</v>
      </c>
      <c r="Y190" s="48">
        <v>96</v>
      </c>
      <c r="Z190" s="49">
        <v>96</v>
      </c>
      <c r="AA190" s="49">
        <v>108</v>
      </c>
      <c r="AB190" s="49">
        <v>150</v>
      </c>
      <c r="AC190" s="31">
        <v>229.2</v>
      </c>
      <c r="AD190" s="28">
        <f t="shared" si="278"/>
        <v>79.199999999999989</v>
      </c>
      <c r="AE190" s="52">
        <v>0</v>
      </c>
      <c r="AF190" s="52">
        <f>+(54)+(0)+(0)+(0)+(78)+(0)</f>
        <v>132</v>
      </c>
      <c r="AG190" s="49">
        <v>150</v>
      </c>
      <c r="AH190" s="22">
        <f t="shared" si="315"/>
        <v>61.199999999999989</v>
      </c>
      <c r="AI190" s="52">
        <f t="shared" si="81"/>
        <v>0</v>
      </c>
      <c r="AJ190" s="52">
        <f>+(0)+(0)+(186)+(0)+(78)+(0)</f>
        <v>264</v>
      </c>
      <c r="AK190" s="49">
        <v>150</v>
      </c>
      <c r="AL190" s="31">
        <f t="shared" si="317"/>
        <v>175.2</v>
      </c>
      <c r="AM190" s="52">
        <f>+(0)+(120)+(0)+(0)+(0)+(0)</f>
        <v>120</v>
      </c>
      <c r="AN190" s="52">
        <f t="shared" ref="AM190:AN401" si="339">+(0)+(0)+(0)+(0)+(0)+(0)</f>
        <v>0</v>
      </c>
      <c r="AO190" s="72">
        <v>150</v>
      </c>
      <c r="AP190" s="74">
        <f t="shared" si="302"/>
        <v>145.19999999999999</v>
      </c>
      <c r="AQ190" s="76">
        <f>+(0)+(0)+(0)+(0)+(54)+(0)</f>
        <v>54</v>
      </c>
      <c r="AR190" s="76">
        <f t="shared" ref="AQ190:AR401" si="340">+(0)+(0)+(0)+(0)+(0)+(0)</f>
        <v>0</v>
      </c>
      <c r="AS190" s="74">
        <v>150</v>
      </c>
      <c r="AT190" s="74">
        <f t="shared" si="303"/>
        <v>49.199999999999989</v>
      </c>
      <c r="AU190" s="73">
        <f>+(0)+(0)+(120)+(126)</f>
        <v>246</v>
      </c>
      <c r="AV190" s="73">
        <f>+(54)+(0)+(0)+(0)+(156)+(78)+(0)+(0)</f>
        <v>288</v>
      </c>
      <c r="AW190" s="73">
        <v>150</v>
      </c>
      <c r="AX190" s="73">
        <f t="shared" ref="AX190:AX201" si="341">+AT190+AU190+AV190-AW190</f>
        <v>433.20000000000005</v>
      </c>
      <c r="AY190" s="109">
        <f t="shared" si="241"/>
        <v>0</v>
      </c>
      <c r="AZ190" s="109">
        <f>+(30)+(0)+(0)+(0)+(0)+(0)+(0)+(0)</f>
        <v>30</v>
      </c>
      <c r="BA190" s="61">
        <v>150</v>
      </c>
      <c r="BB190" s="61">
        <f t="shared" si="318"/>
        <v>313.20000000000005</v>
      </c>
      <c r="BD190" s="88">
        <v>0</v>
      </c>
      <c r="BE190" s="88">
        <v>0</v>
      </c>
      <c r="BF190" s="88">
        <v>0</v>
      </c>
      <c r="BG190" s="88">
        <v>0</v>
      </c>
      <c r="BH190" s="88">
        <v>0</v>
      </c>
      <c r="BI190" s="88">
        <v>0</v>
      </c>
      <c r="BJ190" s="88">
        <v>0</v>
      </c>
      <c r="BK190" s="88">
        <v>0</v>
      </c>
      <c r="BL190" s="88">
        <v>0</v>
      </c>
      <c r="BM190" s="88">
        <v>0</v>
      </c>
      <c r="BN190" s="88">
        <v>0</v>
      </c>
      <c r="BO190" s="88">
        <v>0</v>
      </c>
      <c r="BP190" s="210">
        <v>150</v>
      </c>
      <c r="BQ190" s="208">
        <f t="shared" si="214"/>
        <v>163.20000000000005</v>
      </c>
      <c r="BR190" s="175">
        <f t="shared" si="213"/>
        <v>1500</v>
      </c>
    </row>
    <row r="191" spans="1:70" ht="25.8" thickBot="1" x14ac:dyDescent="0.65">
      <c r="A191" s="64">
        <v>183</v>
      </c>
      <c r="B191" s="112" t="s">
        <v>100</v>
      </c>
      <c r="C191" s="113" t="s">
        <v>171</v>
      </c>
      <c r="D191" s="124" t="s">
        <v>141</v>
      </c>
      <c r="E191" s="115">
        <v>6</v>
      </c>
      <c r="F191" s="116">
        <f t="shared" si="276"/>
        <v>3199.9800000000005</v>
      </c>
      <c r="G191" s="116">
        <f t="shared" si="301"/>
        <v>1692</v>
      </c>
      <c r="H191" s="117">
        <f t="shared" si="277"/>
        <v>4891.9800000000005</v>
      </c>
      <c r="I191" s="118">
        <v>9</v>
      </c>
      <c r="J191" s="88">
        <v>9</v>
      </c>
      <c r="L191" s="122">
        <v>46181</v>
      </c>
      <c r="M191" s="120"/>
      <c r="N191" s="121" t="str">
        <f t="shared" ca="1" si="316"/>
        <v>O.K.</v>
      </c>
      <c r="W191" s="1" t="s">
        <v>100</v>
      </c>
      <c r="X191" s="50">
        <v>420</v>
      </c>
      <c r="Y191" s="48">
        <v>96</v>
      </c>
      <c r="Z191" s="49">
        <v>96</v>
      </c>
      <c r="AA191" s="49">
        <v>120</v>
      </c>
      <c r="AB191" s="49">
        <v>120</v>
      </c>
      <c r="AC191" s="31">
        <v>156</v>
      </c>
      <c r="AD191" s="28">
        <f t="shared" si="278"/>
        <v>36</v>
      </c>
      <c r="AE191" s="52">
        <v>0</v>
      </c>
      <c r="AF191" s="52">
        <f>+(78)+(54)+(0)+(0)+(0)+(54)</f>
        <v>186</v>
      </c>
      <c r="AG191" s="49">
        <v>120</v>
      </c>
      <c r="AH191" s="22">
        <f t="shared" si="315"/>
        <v>102</v>
      </c>
      <c r="AI191" s="52">
        <f>+(0)+(0)+(0)+(0)+(156)+(0)</f>
        <v>156</v>
      </c>
      <c r="AJ191" s="52">
        <f>+(0)+(78)+(0)+(0)+(0)+(0)</f>
        <v>78</v>
      </c>
      <c r="AK191" s="49">
        <v>120</v>
      </c>
      <c r="AL191" s="31">
        <f t="shared" si="317"/>
        <v>216</v>
      </c>
      <c r="AM191" s="52">
        <f t="shared" si="339"/>
        <v>0</v>
      </c>
      <c r="AN191" s="52">
        <f>+(186)+(108)+(0)+(0)+(0)+(96)</f>
        <v>390</v>
      </c>
      <c r="AO191" s="72">
        <v>120</v>
      </c>
      <c r="AP191" s="74">
        <f t="shared" si="302"/>
        <v>486</v>
      </c>
      <c r="AQ191" s="76">
        <f>+(0)+(0)+(0)+(0)+(54)+(0)</f>
        <v>54</v>
      </c>
      <c r="AR191" s="76">
        <f t="shared" si="340"/>
        <v>0</v>
      </c>
      <c r="AS191" s="74">
        <v>120</v>
      </c>
      <c r="AT191" s="74">
        <f t="shared" si="303"/>
        <v>420</v>
      </c>
      <c r="AU191" s="73">
        <f t="shared" si="257"/>
        <v>0</v>
      </c>
      <c r="AV191" s="73">
        <f>+(0)+(0)+(96)+(0)+(0)+(0)+(0)+(78)</f>
        <v>174</v>
      </c>
      <c r="AW191" s="74">
        <v>120</v>
      </c>
      <c r="AX191" s="74">
        <f t="shared" si="341"/>
        <v>474</v>
      </c>
      <c r="AY191" s="109">
        <f>+(0)+(0)+(0)+(54)</f>
        <v>54</v>
      </c>
      <c r="AZ191" s="109">
        <f>+(0)+(0)+(78)+(0)+(0)+(108)+(0)+(78)</f>
        <v>264</v>
      </c>
      <c r="BA191" s="61">
        <v>120</v>
      </c>
      <c r="BB191" s="61">
        <f t="shared" si="318"/>
        <v>672</v>
      </c>
      <c r="BD191" s="88">
        <v>0</v>
      </c>
      <c r="BE191" s="88">
        <v>0</v>
      </c>
      <c r="BF191" s="88">
        <v>0</v>
      </c>
      <c r="BG191" s="88">
        <v>0</v>
      </c>
      <c r="BH191" s="88">
        <v>0</v>
      </c>
      <c r="BI191" s="88">
        <v>0</v>
      </c>
      <c r="BJ191" s="88">
        <v>0</v>
      </c>
      <c r="BK191" s="88">
        <v>0</v>
      </c>
      <c r="BL191" s="88">
        <v>0</v>
      </c>
      <c r="BM191" s="88">
        <v>0</v>
      </c>
      <c r="BN191" s="88">
        <v>0</v>
      </c>
      <c r="BO191" s="88">
        <v>0</v>
      </c>
      <c r="BP191" s="210">
        <v>120</v>
      </c>
      <c r="BQ191" s="208">
        <f t="shared" si="214"/>
        <v>552</v>
      </c>
      <c r="BR191" s="175">
        <f t="shared" si="213"/>
        <v>1692</v>
      </c>
    </row>
    <row r="192" spans="1:70" ht="25.8" thickBot="1" x14ac:dyDescent="0.65">
      <c r="A192" s="64">
        <v>184</v>
      </c>
      <c r="B192" s="166" t="s">
        <v>522</v>
      </c>
      <c r="C192" s="156" t="s">
        <v>21</v>
      </c>
      <c r="D192" s="170">
        <v>45945</v>
      </c>
      <c r="E192" s="168">
        <v>0</v>
      </c>
      <c r="F192" s="160">
        <f t="shared" ref="F192" si="342">+E192*$C$1</f>
        <v>0</v>
      </c>
      <c r="G192" s="160">
        <f t="shared" ref="G192" si="343">+BR192</f>
        <v>0</v>
      </c>
      <c r="H192" s="161">
        <f t="shared" ref="H192" si="344">+F192+G192</f>
        <v>0</v>
      </c>
      <c r="I192" s="162">
        <v>15</v>
      </c>
      <c r="J192" s="88">
        <v>15</v>
      </c>
      <c r="L192" s="169">
        <v>46675</v>
      </c>
      <c r="M192" s="164"/>
      <c r="N192" s="165" t="str">
        <f t="shared" ca="1" si="316"/>
        <v>O.K.</v>
      </c>
      <c r="W192" s="1" t="s">
        <v>522</v>
      </c>
      <c r="X192" s="50"/>
      <c r="Y192" s="48"/>
      <c r="Z192" s="49"/>
      <c r="AA192" s="49"/>
      <c r="AB192" s="49"/>
      <c r="AC192" s="31"/>
      <c r="AD192" s="28"/>
      <c r="AE192" s="52"/>
      <c r="AF192" s="52"/>
      <c r="AG192" s="49"/>
      <c r="AH192" s="22"/>
      <c r="AI192" s="52"/>
      <c r="AJ192" s="52"/>
      <c r="AK192" s="49"/>
      <c r="AL192" s="31"/>
      <c r="AM192" s="52"/>
      <c r="AN192" s="52"/>
      <c r="AO192" s="72"/>
      <c r="AP192" s="74"/>
      <c r="AQ192" s="76"/>
      <c r="AR192" s="76"/>
      <c r="AS192" s="74"/>
      <c r="AT192" s="74"/>
      <c r="AU192" s="73"/>
      <c r="AV192" s="73"/>
      <c r="AW192" s="74"/>
      <c r="AX192" s="74"/>
      <c r="AY192" s="109"/>
      <c r="AZ192" s="109"/>
      <c r="BA192" s="61"/>
      <c r="BB192" s="61"/>
      <c r="BD192" s="88">
        <v>0</v>
      </c>
      <c r="BE192" s="88">
        <v>0</v>
      </c>
      <c r="BF192" s="88">
        <v>0</v>
      </c>
      <c r="BG192" s="88">
        <v>0</v>
      </c>
      <c r="BH192" s="88">
        <v>0</v>
      </c>
      <c r="BI192" s="88">
        <v>0</v>
      </c>
      <c r="BJ192" s="88">
        <v>0</v>
      </c>
      <c r="BK192" s="88">
        <v>0</v>
      </c>
      <c r="BL192" s="88">
        <v>0</v>
      </c>
      <c r="BM192" s="88">
        <v>0</v>
      </c>
      <c r="BN192" s="88">
        <v>0</v>
      </c>
      <c r="BO192" s="88">
        <v>0</v>
      </c>
      <c r="BP192" s="210">
        <v>0</v>
      </c>
      <c r="BQ192" s="208">
        <f t="shared" ref="BQ192" si="345">+BB192+SUM(BD192:BG192)+SUM(BH192:BO192)-BP192</f>
        <v>0</v>
      </c>
      <c r="BR192" s="175">
        <f t="shared" ref="BR192" si="346">SUM(X192:AA192)+AB192+AG192+AK192+AO192+AS192+AW192+BA192+BP192</f>
        <v>0</v>
      </c>
    </row>
    <row r="193" spans="1:70" ht="25.8" thickBot="1" x14ac:dyDescent="0.65">
      <c r="A193" s="64">
        <v>185</v>
      </c>
      <c r="B193" s="112" t="s">
        <v>469</v>
      </c>
      <c r="C193" s="113" t="s">
        <v>21</v>
      </c>
      <c r="D193" s="123">
        <v>45658</v>
      </c>
      <c r="E193" s="115">
        <v>1</v>
      </c>
      <c r="F193" s="116">
        <f t="shared" si="276"/>
        <v>533.33000000000004</v>
      </c>
      <c r="G193" s="116">
        <f t="shared" ref="G193" si="347">+BR193</f>
        <v>300</v>
      </c>
      <c r="H193" s="117">
        <f t="shared" ref="H193" si="348">+F193+G193</f>
        <v>833.33</v>
      </c>
      <c r="I193" s="118">
        <v>15</v>
      </c>
      <c r="J193" s="88">
        <v>14</v>
      </c>
      <c r="L193" s="122">
        <v>46219</v>
      </c>
      <c r="M193" s="120"/>
      <c r="N193" s="121" t="str">
        <f t="shared" ca="1" si="316"/>
        <v>O.K.</v>
      </c>
      <c r="W193" s="1" t="str">
        <f>+B193</f>
        <v>UGARTE GAFARO OMAR</v>
      </c>
      <c r="X193" s="50"/>
      <c r="Y193" s="48"/>
      <c r="Z193" s="49"/>
      <c r="AA193" s="49"/>
      <c r="AB193" s="49"/>
      <c r="AC193" s="31"/>
      <c r="AD193" s="28"/>
      <c r="AE193" s="52"/>
      <c r="AF193" s="52"/>
      <c r="AG193" s="49"/>
      <c r="AH193" s="22"/>
      <c r="AI193" s="52"/>
      <c r="AJ193" s="52"/>
      <c r="AK193" s="49"/>
      <c r="AL193" s="31"/>
      <c r="AM193" s="52"/>
      <c r="AN193" s="52"/>
      <c r="AO193" s="72"/>
      <c r="AP193" s="74"/>
      <c r="AQ193" s="76"/>
      <c r="AR193" s="76"/>
      <c r="AS193" s="74"/>
      <c r="AT193" s="74"/>
      <c r="AU193" s="73"/>
      <c r="AV193" s="73"/>
      <c r="AW193" s="74"/>
      <c r="AX193" s="74"/>
      <c r="AY193" s="109">
        <f t="shared" si="241"/>
        <v>0</v>
      </c>
      <c r="AZ193" s="109">
        <f>+(0)+(0)+(78)+(553.2)+(0)+(0)+(109.2)+(0)</f>
        <v>740.40000000000009</v>
      </c>
      <c r="BA193" s="61">
        <v>150</v>
      </c>
      <c r="BB193" s="61">
        <f t="shared" ref="BB193:BB194" si="349">(AX193+AY193+AZ193)-BA193</f>
        <v>590.40000000000009</v>
      </c>
      <c r="BD193" s="88">
        <v>0</v>
      </c>
      <c r="BE193" s="88">
        <v>0</v>
      </c>
      <c r="BF193" s="88">
        <v>0</v>
      </c>
      <c r="BG193" s="88">
        <v>0</v>
      </c>
      <c r="BH193" s="88">
        <v>0</v>
      </c>
      <c r="BI193" s="88">
        <v>0</v>
      </c>
      <c r="BJ193" s="88">
        <v>0</v>
      </c>
      <c r="BK193" s="88">
        <v>0</v>
      </c>
      <c r="BL193" s="88">
        <v>0</v>
      </c>
      <c r="BM193" s="88">
        <v>0</v>
      </c>
      <c r="BN193" s="88">
        <v>0</v>
      </c>
      <c r="BO193" s="88">
        <v>0</v>
      </c>
      <c r="BP193" s="210">
        <v>150</v>
      </c>
      <c r="BQ193" s="208">
        <f t="shared" si="214"/>
        <v>440.40000000000009</v>
      </c>
      <c r="BR193" s="175">
        <f t="shared" si="213"/>
        <v>300</v>
      </c>
    </row>
    <row r="194" spans="1:70" ht="25.8" thickBot="1" x14ac:dyDescent="0.65">
      <c r="A194" s="64">
        <v>186</v>
      </c>
      <c r="B194" s="166" t="s">
        <v>514</v>
      </c>
      <c r="C194" s="156" t="s">
        <v>21</v>
      </c>
      <c r="D194" s="170">
        <v>45870</v>
      </c>
      <c r="E194" s="168">
        <v>0</v>
      </c>
      <c r="F194" s="160">
        <f t="shared" si="276"/>
        <v>0</v>
      </c>
      <c r="G194" s="160">
        <f t="shared" ref="G194" si="350">+BR194</f>
        <v>0</v>
      </c>
      <c r="H194" s="161">
        <f t="shared" ref="H194" si="351">+F194+G194</f>
        <v>0</v>
      </c>
      <c r="I194" s="162">
        <v>15</v>
      </c>
      <c r="J194" s="88">
        <v>11</v>
      </c>
      <c r="K194" s="213" t="s">
        <v>485</v>
      </c>
      <c r="L194" s="169">
        <v>46600</v>
      </c>
      <c r="M194" s="164"/>
      <c r="N194" s="165" t="str">
        <f t="shared" ca="1" si="316"/>
        <v>O.K.</v>
      </c>
      <c r="W194" s="1" t="s">
        <v>514</v>
      </c>
      <c r="X194" s="50"/>
      <c r="Y194" s="48"/>
      <c r="Z194" s="49"/>
      <c r="AA194" s="49"/>
      <c r="AB194" s="49"/>
      <c r="AC194" s="31"/>
      <c r="AD194" s="28"/>
      <c r="AE194" s="52"/>
      <c r="AF194" s="52"/>
      <c r="AG194" s="49"/>
      <c r="AH194" s="22"/>
      <c r="AI194" s="52"/>
      <c r="AJ194" s="52"/>
      <c r="AK194" s="49"/>
      <c r="AL194" s="31"/>
      <c r="AM194" s="52"/>
      <c r="AN194" s="52"/>
      <c r="AO194" s="72"/>
      <c r="AP194" s="74"/>
      <c r="AQ194" s="76"/>
      <c r="AR194" s="76"/>
      <c r="AS194" s="74"/>
      <c r="AT194" s="74"/>
      <c r="AU194" s="73"/>
      <c r="AV194" s="73"/>
      <c r="AW194" s="74"/>
      <c r="AX194" s="74"/>
      <c r="AY194" s="109">
        <f t="shared" si="241"/>
        <v>0</v>
      </c>
      <c r="AZ194" s="109">
        <f t="shared" si="244"/>
        <v>0</v>
      </c>
      <c r="BA194" s="61">
        <v>0</v>
      </c>
      <c r="BB194" s="61">
        <f t="shared" si="349"/>
        <v>0</v>
      </c>
      <c r="BD194" s="88">
        <v>0</v>
      </c>
      <c r="BE194" s="88">
        <v>0</v>
      </c>
      <c r="BF194" s="88">
        <v>0</v>
      </c>
      <c r="BG194" s="88">
        <v>0</v>
      </c>
      <c r="BH194" s="88">
        <v>0</v>
      </c>
      <c r="BI194" s="88">
        <v>0</v>
      </c>
      <c r="BJ194" s="88">
        <v>0</v>
      </c>
      <c r="BK194" s="88">
        <v>0</v>
      </c>
      <c r="BL194" s="88">
        <v>0</v>
      </c>
      <c r="BM194" s="88">
        <v>0</v>
      </c>
      <c r="BN194" s="88">
        <v>0</v>
      </c>
      <c r="BO194" s="88">
        <v>0</v>
      </c>
      <c r="BP194" s="210">
        <v>0</v>
      </c>
      <c r="BQ194" s="208">
        <f t="shared" ref="BQ194" si="352">+BB194+SUM(BD194:BG194)+SUM(BH194:BO194)-BP194</f>
        <v>0</v>
      </c>
      <c r="BR194" s="175">
        <f t="shared" ref="BR194" si="353">SUM(X194:AA194)+AB194+AG194+AK194+AO194+AS194+AW194+BA194+BP194</f>
        <v>0</v>
      </c>
    </row>
    <row r="195" spans="1:70" ht="25.8" thickBot="1" x14ac:dyDescent="0.65">
      <c r="A195" s="64">
        <v>187</v>
      </c>
      <c r="B195" s="112" t="s">
        <v>447</v>
      </c>
      <c r="C195" s="113" t="s">
        <v>19</v>
      </c>
      <c r="D195" s="123">
        <v>45419</v>
      </c>
      <c r="E195" s="115">
        <v>0</v>
      </c>
      <c r="F195" s="116">
        <f t="shared" si="276"/>
        <v>0</v>
      </c>
      <c r="G195" s="116">
        <f t="shared" ref="G195" si="354">+BR195</f>
        <v>0</v>
      </c>
      <c r="H195" s="117">
        <f t="shared" ref="H195" si="355">+F195+G195</f>
        <v>0</v>
      </c>
      <c r="I195" s="118">
        <v>15</v>
      </c>
      <c r="J195" s="88">
        <v>15</v>
      </c>
      <c r="L195" s="122">
        <v>46149</v>
      </c>
      <c r="M195" s="120"/>
      <c r="N195" s="121" t="str">
        <f t="shared" ca="1" si="316"/>
        <v>O.K.</v>
      </c>
      <c r="W195" s="1" t="s">
        <v>447</v>
      </c>
      <c r="X195" s="50">
        <v>0</v>
      </c>
      <c r="Y195" s="48">
        <v>0</v>
      </c>
      <c r="Z195" s="49">
        <v>0</v>
      </c>
      <c r="AA195" s="49">
        <v>0</v>
      </c>
      <c r="AB195" s="49">
        <v>0</v>
      </c>
      <c r="AC195" s="31">
        <v>0</v>
      </c>
      <c r="AD195" s="28">
        <f t="shared" si="278"/>
        <v>0</v>
      </c>
      <c r="AE195" s="52">
        <v>0</v>
      </c>
      <c r="AF195" s="52">
        <v>0</v>
      </c>
      <c r="AG195" s="49">
        <v>0</v>
      </c>
      <c r="AH195" s="22">
        <f t="shared" si="315"/>
        <v>0</v>
      </c>
      <c r="AI195" s="52">
        <v>0</v>
      </c>
      <c r="AJ195" s="52">
        <v>0</v>
      </c>
      <c r="AK195" s="49">
        <v>0</v>
      </c>
      <c r="AL195" s="31">
        <f t="shared" si="317"/>
        <v>0</v>
      </c>
      <c r="AM195" s="52">
        <v>0</v>
      </c>
      <c r="AN195" s="52">
        <v>0</v>
      </c>
      <c r="AO195" s="72">
        <v>0</v>
      </c>
      <c r="AP195" s="74">
        <f t="shared" si="302"/>
        <v>0</v>
      </c>
      <c r="AQ195" s="76">
        <v>0</v>
      </c>
      <c r="AR195" s="76">
        <v>0</v>
      </c>
      <c r="AS195" s="74">
        <v>0</v>
      </c>
      <c r="AT195" s="74">
        <f t="shared" si="303"/>
        <v>0</v>
      </c>
      <c r="AU195" s="73">
        <f t="shared" si="257"/>
        <v>0</v>
      </c>
      <c r="AV195" s="73">
        <f t="shared" si="266"/>
        <v>0</v>
      </c>
      <c r="AW195" s="73">
        <v>0</v>
      </c>
      <c r="AX195" s="73">
        <f t="shared" ref="AX195" si="356">+AT195+AU195+AV195-AW195</f>
        <v>0</v>
      </c>
      <c r="AY195" s="109">
        <f t="shared" si="241"/>
        <v>0</v>
      </c>
      <c r="AZ195" s="109">
        <f t="shared" si="244"/>
        <v>0</v>
      </c>
      <c r="BA195" s="61">
        <v>0</v>
      </c>
      <c r="BB195" s="61">
        <f t="shared" si="318"/>
        <v>0</v>
      </c>
      <c r="BD195" s="88">
        <v>0</v>
      </c>
      <c r="BE195" s="88">
        <v>0</v>
      </c>
      <c r="BF195" s="88">
        <v>0</v>
      </c>
      <c r="BG195" s="88">
        <v>0</v>
      </c>
      <c r="BH195" s="88">
        <v>0</v>
      </c>
      <c r="BI195" s="88">
        <v>0</v>
      </c>
      <c r="BJ195" s="88">
        <v>0</v>
      </c>
      <c r="BK195" s="88">
        <v>0</v>
      </c>
      <c r="BL195" s="88">
        <v>0</v>
      </c>
      <c r="BM195" s="88">
        <v>0</v>
      </c>
      <c r="BN195" s="88">
        <v>0</v>
      </c>
      <c r="BO195" s="88">
        <v>0</v>
      </c>
      <c r="BP195" s="210">
        <v>0</v>
      </c>
      <c r="BQ195" s="208">
        <f t="shared" si="214"/>
        <v>0</v>
      </c>
      <c r="BR195" s="175">
        <f t="shared" si="213"/>
        <v>0</v>
      </c>
    </row>
    <row r="196" spans="1:70" ht="25.8" thickBot="1" x14ac:dyDescent="0.65">
      <c r="A196" s="64">
        <v>188</v>
      </c>
      <c r="B196" s="112" t="s">
        <v>253</v>
      </c>
      <c r="C196" s="113" t="s">
        <v>21</v>
      </c>
      <c r="D196" s="112"/>
      <c r="E196" s="116">
        <v>5</v>
      </c>
      <c r="F196" s="116">
        <f t="shared" si="276"/>
        <v>2666.65</v>
      </c>
      <c r="G196" s="116">
        <f t="shared" ref="G196:G210" si="357">+BR196</f>
        <v>1719</v>
      </c>
      <c r="H196" s="117">
        <f t="shared" si="277"/>
        <v>4385.6499999999996</v>
      </c>
      <c r="I196" s="118">
        <v>10</v>
      </c>
      <c r="J196" s="88">
        <v>10</v>
      </c>
      <c r="L196" s="119">
        <v>46056</v>
      </c>
      <c r="M196" s="120"/>
      <c r="N196" s="121" t="str">
        <f t="shared" ca="1" si="316"/>
        <v>O.K.</v>
      </c>
      <c r="W196" s="1" t="s">
        <v>253</v>
      </c>
      <c r="X196" s="51">
        <v>150</v>
      </c>
      <c r="Y196" s="48">
        <v>150</v>
      </c>
      <c r="Z196" s="49">
        <v>150</v>
      </c>
      <c r="AA196" s="49">
        <v>150</v>
      </c>
      <c r="AB196" s="49">
        <v>150</v>
      </c>
      <c r="AC196" s="31">
        <v>264</v>
      </c>
      <c r="AD196" s="28">
        <f t="shared" si="278"/>
        <v>114</v>
      </c>
      <c r="AE196" s="52">
        <v>0</v>
      </c>
      <c r="AF196" s="52">
        <f>+(0)+(252.6)+(37.8)+(0)+(0)+(54)</f>
        <v>344.4</v>
      </c>
      <c r="AG196" s="49">
        <v>150</v>
      </c>
      <c r="AH196" s="22">
        <f t="shared" si="315"/>
        <v>308.39999999999998</v>
      </c>
      <c r="AI196" s="52">
        <f t="shared" si="81"/>
        <v>0</v>
      </c>
      <c r="AJ196" s="52">
        <f>+(78)+(0)+(0)+(0)+(0)+(0)</f>
        <v>78</v>
      </c>
      <c r="AK196" s="49">
        <v>150</v>
      </c>
      <c r="AL196" s="31">
        <f t="shared" si="317"/>
        <v>236.39999999999998</v>
      </c>
      <c r="AM196" s="52">
        <f t="shared" si="339"/>
        <v>0</v>
      </c>
      <c r="AN196" s="52">
        <f>+(0)+(78)+(0)+(0)+(51)+(0)</f>
        <v>129</v>
      </c>
      <c r="AO196" s="72">
        <v>150</v>
      </c>
      <c r="AP196" s="74">
        <f t="shared" si="302"/>
        <v>215.39999999999998</v>
      </c>
      <c r="AQ196" s="76">
        <f>+(0)+(0)+(0)+(0)+(54)+(0)</f>
        <v>54</v>
      </c>
      <c r="AR196" s="76">
        <f>+(0)+(75.6)+(0)+(0)+(0)+(0)</f>
        <v>75.599999999999994</v>
      </c>
      <c r="AS196" s="74">
        <v>150</v>
      </c>
      <c r="AT196" s="74">
        <f t="shared" si="303"/>
        <v>195</v>
      </c>
      <c r="AU196" s="73">
        <f t="shared" si="257"/>
        <v>0</v>
      </c>
      <c r="AV196" s="73">
        <f>+(0)+(0)+(96)+(0)+(0)+(0)+(0)+(0)</f>
        <v>96</v>
      </c>
      <c r="AW196" s="73">
        <v>150</v>
      </c>
      <c r="AX196" s="73">
        <f t="shared" si="341"/>
        <v>141</v>
      </c>
      <c r="AY196" s="109">
        <f>+(0)+(0)+(0)+(78)</f>
        <v>78</v>
      </c>
      <c r="AZ196" s="109">
        <f t="shared" si="244"/>
        <v>0</v>
      </c>
      <c r="BA196" s="61">
        <v>150</v>
      </c>
      <c r="BB196" s="61">
        <f t="shared" si="318"/>
        <v>69</v>
      </c>
      <c r="BD196" s="88">
        <v>0</v>
      </c>
      <c r="BE196" s="88">
        <v>0</v>
      </c>
      <c r="BF196" s="88">
        <v>0</v>
      </c>
      <c r="BG196" s="88">
        <v>0</v>
      </c>
      <c r="BH196" s="88">
        <v>0</v>
      </c>
      <c r="BI196" s="88">
        <v>0</v>
      </c>
      <c r="BJ196" s="88">
        <v>0</v>
      </c>
      <c r="BK196" s="88">
        <v>0</v>
      </c>
      <c r="BL196" s="88">
        <v>0</v>
      </c>
      <c r="BM196" s="88">
        <v>0</v>
      </c>
      <c r="BN196" s="88">
        <v>0</v>
      </c>
      <c r="BO196" s="88">
        <v>0</v>
      </c>
      <c r="BP196" s="210">
        <v>69</v>
      </c>
      <c r="BQ196" s="208">
        <f t="shared" si="214"/>
        <v>0</v>
      </c>
      <c r="BR196" s="175">
        <f t="shared" si="213"/>
        <v>1719</v>
      </c>
    </row>
    <row r="197" spans="1:70" ht="25.8" thickBot="1" x14ac:dyDescent="0.65">
      <c r="A197" s="64">
        <v>189</v>
      </c>
      <c r="B197" s="112" t="s">
        <v>101</v>
      </c>
      <c r="C197" s="113" t="s">
        <v>20</v>
      </c>
      <c r="D197" s="124" t="s">
        <v>164</v>
      </c>
      <c r="E197" s="115">
        <v>8</v>
      </c>
      <c r="F197" s="116">
        <f t="shared" si="276"/>
        <v>4266.6400000000003</v>
      </c>
      <c r="G197" s="116">
        <f t="shared" si="357"/>
        <v>2788</v>
      </c>
      <c r="H197" s="117">
        <f t="shared" si="277"/>
        <v>7054.64</v>
      </c>
      <c r="I197" s="118">
        <v>7</v>
      </c>
      <c r="J197" s="88">
        <v>7</v>
      </c>
      <c r="L197" s="122">
        <v>46023</v>
      </c>
      <c r="M197" s="120"/>
      <c r="N197" s="121" t="str">
        <f t="shared" ca="1" si="316"/>
        <v>O.K.</v>
      </c>
      <c r="W197" s="1" t="s">
        <v>101</v>
      </c>
      <c r="X197" s="50">
        <v>1138</v>
      </c>
      <c r="Y197" s="48">
        <v>150</v>
      </c>
      <c r="Z197" s="49">
        <v>150</v>
      </c>
      <c r="AA197" s="49">
        <v>150</v>
      </c>
      <c r="AB197" s="49">
        <v>150</v>
      </c>
      <c r="AC197" s="31">
        <v>207</v>
      </c>
      <c r="AD197" s="28">
        <f t="shared" si="278"/>
        <v>57</v>
      </c>
      <c r="AE197" s="52">
        <f>54+54</f>
        <v>108</v>
      </c>
      <c r="AF197" s="52">
        <f>+(0)+(0)+(54.6)+(0)+(0)+(559.2)</f>
        <v>613.80000000000007</v>
      </c>
      <c r="AG197" s="49">
        <v>150</v>
      </c>
      <c r="AH197" s="22">
        <f t="shared" si="315"/>
        <v>628.80000000000007</v>
      </c>
      <c r="AI197" s="52">
        <f>+(0)+(0)+(108)+(0)+(0)+(0)</f>
        <v>108</v>
      </c>
      <c r="AJ197" s="52">
        <f>+(198)+(0)+(0)+(0)+(0)+(0)</f>
        <v>198</v>
      </c>
      <c r="AK197" s="49">
        <v>150</v>
      </c>
      <c r="AL197" s="31">
        <f t="shared" si="317"/>
        <v>784.80000000000007</v>
      </c>
      <c r="AM197" s="52">
        <f>+(0)+(120)+(0)+(0)+(0)+(0)</f>
        <v>120</v>
      </c>
      <c r="AN197" s="52">
        <f>+(0)+(0)+(0)+(0)+(0)+(120)</f>
        <v>120</v>
      </c>
      <c r="AO197" s="72">
        <v>150</v>
      </c>
      <c r="AP197" s="74">
        <f t="shared" si="302"/>
        <v>874.80000000000018</v>
      </c>
      <c r="AQ197" s="76">
        <f>+(108)+(30)+(0)+(0)+(54)+(0)</f>
        <v>192</v>
      </c>
      <c r="AR197" s="76">
        <f t="shared" si="340"/>
        <v>0</v>
      </c>
      <c r="AS197" s="74">
        <v>150</v>
      </c>
      <c r="AT197" s="74">
        <f t="shared" si="303"/>
        <v>916.80000000000018</v>
      </c>
      <c r="AU197" s="73">
        <f>+(0)+(0)+(0)+(192)</f>
        <v>192</v>
      </c>
      <c r="AV197" s="73">
        <f>+(0)+(0)+(0)+(0)+(54)+(0)+(30)+(0)</f>
        <v>84</v>
      </c>
      <c r="AW197" s="73">
        <v>150</v>
      </c>
      <c r="AX197" s="73">
        <f t="shared" si="341"/>
        <v>1042.8000000000002</v>
      </c>
      <c r="AY197" s="109">
        <f>+(0)+(0)+(0)+(78)</f>
        <v>78</v>
      </c>
      <c r="AZ197" s="109">
        <f>+(0)+(78)+(198)+(0)+(0)+(0)+(54.6)+(0)</f>
        <v>330.6</v>
      </c>
      <c r="BA197" s="61">
        <v>150</v>
      </c>
      <c r="BB197" s="61">
        <f t="shared" si="318"/>
        <v>1301.4000000000001</v>
      </c>
      <c r="BD197" s="88">
        <v>0</v>
      </c>
      <c r="BE197" s="88">
        <v>0</v>
      </c>
      <c r="BF197" s="88">
        <v>0</v>
      </c>
      <c r="BG197" s="88">
        <v>0</v>
      </c>
      <c r="BH197" s="88">
        <v>0</v>
      </c>
      <c r="BI197" s="88">
        <v>0</v>
      </c>
      <c r="BJ197" s="88">
        <v>0</v>
      </c>
      <c r="BK197" s="88">
        <v>0</v>
      </c>
      <c r="BL197" s="88">
        <v>0</v>
      </c>
      <c r="BM197" s="88">
        <v>0</v>
      </c>
      <c r="BN197" s="88">
        <v>0</v>
      </c>
      <c r="BO197" s="88">
        <v>0</v>
      </c>
      <c r="BP197" s="210">
        <v>150</v>
      </c>
      <c r="BQ197" s="208">
        <f t="shared" si="214"/>
        <v>1151.4000000000001</v>
      </c>
      <c r="BR197" s="175">
        <f t="shared" si="213"/>
        <v>2788</v>
      </c>
    </row>
    <row r="198" spans="1:70" ht="25.8" thickBot="1" x14ac:dyDescent="0.65">
      <c r="A198" s="64">
        <v>190</v>
      </c>
      <c r="B198" s="112" t="s">
        <v>457</v>
      </c>
      <c r="C198" s="113" t="s">
        <v>23</v>
      </c>
      <c r="D198" s="123">
        <v>45505</v>
      </c>
      <c r="E198" s="115">
        <v>0</v>
      </c>
      <c r="F198" s="116">
        <f t="shared" si="276"/>
        <v>0</v>
      </c>
      <c r="G198" s="116">
        <f t="shared" ref="G198" si="358">+BR198</f>
        <v>228</v>
      </c>
      <c r="H198" s="117">
        <f t="shared" ref="H198" si="359">+F198+G198</f>
        <v>228</v>
      </c>
      <c r="I198" s="118">
        <v>15</v>
      </c>
      <c r="J198" s="88">
        <v>15</v>
      </c>
      <c r="L198" s="122">
        <v>46235</v>
      </c>
      <c r="M198" s="120"/>
      <c r="N198" s="121" t="str">
        <f t="shared" ca="1" si="316"/>
        <v>O.K.</v>
      </c>
      <c r="W198" s="1" t="s">
        <v>457</v>
      </c>
      <c r="X198" s="125">
        <v>228</v>
      </c>
      <c r="Y198" s="48"/>
      <c r="Z198" s="49"/>
      <c r="AA198" s="49"/>
      <c r="AB198" s="49"/>
      <c r="AC198" s="31"/>
      <c r="AD198" s="28"/>
      <c r="AE198" s="52"/>
      <c r="AF198" s="52"/>
      <c r="AG198" s="49"/>
      <c r="AH198" s="22"/>
      <c r="AI198" s="52"/>
      <c r="AJ198" s="52"/>
      <c r="AK198" s="49"/>
      <c r="AL198" s="31"/>
      <c r="AM198" s="52"/>
      <c r="AN198" s="52"/>
      <c r="AO198" s="72"/>
      <c r="AP198" s="74"/>
      <c r="AQ198" s="76"/>
      <c r="AR198" s="76"/>
      <c r="AS198" s="74"/>
      <c r="AT198" s="74"/>
      <c r="AU198" s="73">
        <f t="shared" si="257"/>
        <v>0</v>
      </c>
      <c r="AV198" s="73">
        <f t="shared" si="266"/>
        <v>0</v>
      </c>
      <c r="AW198" s="73">
        <v>0</v>
      </c>
      <c r="AX198" s="73">
        <f t="shared" si="341"/>
        <v>0</v>
      </c>
      <c r="AY198" s="109">
        <f t="shared" si="241"/>
        <v>0</v>
      </c>
      <c r="AZ198" s="109">
        <f t="shared" si="244"/>
        <v>0</v>
      </c>
      <c r="BA198" s="61">
        <v>0</v>
      </c>
      <c r="BB198" s="61">
        <f t="shared" si="318"/>
        <v>0</v>
      </c>
      <c r="BD198" s="88">
        <v>0</v>
      </c>
      <c r="BE198" s="88">
        <v>0</v>
      </c>
      <c r="BF198" s="88">
        <v>0</v>
      </c>
      <c r="BG198" s="88">
        <v>0</v>
      </c>
      <c r="BH198" s="88">
        <v>0</v>
      </c>
      <c r="BI198" s="88">
        <v>0</v>
      </c>
      <c r="BJ198" s="88">
        <v>0</v>
      </c>
      <c r="BK198" s="88">
        <v>0</v>
      </c>
      <c r="BL198" s="88">
        <v>0</v>
      </c>
      <c r="BM198" s="88">
        <v>0</v>
      </c>
      <c r="BN198" s="88">
        <v>0</v>
      </c>
      <c r="BO198" s="88">
        <v>0</v>
      </c>
      <c r="BP198" s="210">
        <v>0</v>
      </c>
      <c r="BQ198" s="208">
        <f t="shared" si="214"/>
        <v>0</v>
      </c>
      <c r="BR198" s="175">
        <f t="shared" si="213"/>
        <v>228</v>
      </c>
    </row>
    <row r="199" spans="1:70" ht="25.8" thickBot="1" x14ac:dyDescent="0.65">
      <c r="A199" s="64">
        <v>191</v>
      </c>
      <c r="B199" s="112" t="s">
        <v>439</v>
      </c>
      <c r="C199" s="113" t="s">
        <v>20</v>
      </c>
      <c r="D199" s="123">
        <v>45292</v>
      </c>
      <c r="E199" s="115">
        <v>1</v>
      </c>
      <c r="F199" s="116">
        <f t="shared" ref="F199" si="360">+E199*$C$1</f>
        <v>533.33000000000004</v>
      </c>
      <c r="G199" s="116">
        <f t="shared" ref="G199" si="361">+BR199</f>
        <v>732</v>
      </c>
      <c r="H199" s="117">
        <f t="shared" ref="H199" si="362">+F199+G199</f>
        <v>1265.33</v>
      </c>
      <c r="I199" s="118">
        <v>14</v>
      </c>
      <c r="J199" s="88">
        <v>14</v>
      </c>
      <c r="L199" s="122">
        <v>46102</v>
      </c>
      <c r="M199" s="120"/>
      <c r="N199" s="121" t="str">
        <f t="shared" ca="1" si="316"/>
        <v>O.K.</v>
      </c>
      <c r="W199" s="1" t="s">
        <v>439</v>
      </c>
      <c r="X199" s="68">
        <v>282</v>
      </c>
      <c r="Y199" s="48">
        <v>0</v>
      </c>
      <c r="Z199" s="49">
        <v>0</v>
      </c>
      <c r="AA199" s="49">
        <v>0</v>
      </c>
      <c r="AB199" s="49">
        <v>0</v>
      </c>
      <c r="AC199" s="31">
        <v>0</v>
      </c>
      <c r="AD199" s="28">
        <f t="shared" si="278"/>
        <v>0</v>
      </c>
      <c r="AE199" s="52">
        <v>0</v>
      </c>
      <c r="AF199" s="52">
        <v>0</v>
      </c>
      <c r="AG199" s="49">
        <v>0</v>
      </c>
      <c r="AH199" s="22">
        <f t="shared" si="315"/>
        <v>0</v>
      </c>
      <c r="AI199" s="52">
        <v>0</v>
      </c>
      <c r="AJ199" s="52">
        <v>0</v>
      </c>
      <c r="AK199" s="49">
        <v>0</v>
      </c>
      <c r="AL199" s="31">
        <f t="shared" si="317"/>
        <v>0</v>
      </c>
      <c r="AM199" s="52">
        <v>0</v>
      </c>
      <c r="AN199" s="52">
        <v>0</v>
      </c>
      <c r="AO199" s="72">
        <v>0</v>
      </c>
      <c r="AP199" s="74">
        <f t="shared" si="302"/>
        <v>0</v>
      </c>
      <c r="AQ199" s="76">
        <v>0</v>
      </c>
      <c r="AR199" s="76">
        <v>0</v>
      </c>
      <c r="AS199" s="74">
        <v>0</v>
      </c>
      <c r="AT199" s="74">
        <f t="shared" si="303"/>
        <v>0</v>
      </c>
      <c r="AU199" s="73">
        <f t="shared" si="257"/>
        <v>0</v>
      </c>
      <c r="AV199" s="73">
        <f>+(0)+(0)+(96)+(0)+(54)+(0)+(78)+(0)</f>
        <v>228</v>
      </c>
      <c r="AW199" s="73">
        <v>150</v>
      </c>
      <c r="AX199" s="73">
        <f t="shared" si="341"/>
        <v>78</v>
      </c>
      <c r="AY199" s="109">
        <f>+(78)+(0)+(0)+(0)</f>
        <v>78</v>
      </c>
      <c r="AZ199" s="109">
        <f>+(0)+(0)+(0)+(0)+(78)+(0)+(0)+(0)</f>
        <v>78</v>
      </c>
      <c r="BA199" s="61">
        <v>150</v>
      </c>
      <c r="BB199" s="61">
        <f t="shared" si="318"/>
        <v>84</v>
      </c>
      <c r="BD199" s="88">
        <v>0</v>
      </c>
      <c r="BE199" s="153">
        <v>78</v>
      </c>
      <c r="BF199" s="88">
        <v>0</v>
      </c>
      <c r="BG199" s="88">
        <v>0</v>
      </c>
      <c r="BH199" s="88">
        <v>0</v>
      </c>
      <c r="BI199" s="88">
        <v>0</v>
      </c>
      <c r="BJ199" s="88">
        <v>0</v>
      </c>
      <c r="BK199" s="88">
        <v>0</v>
      </c>
      <c r="BL199" s="88">
        <v>0</v>
      </c>
      <c r="BM199" s="88">
        <v>0</v>
      </c>
      <c r="BN199" s="88">
        <v>0</v>
      </c>
      <c r="BO199" s="88">
        <v>0</v>
      </c>
      <c r="BP199" s="210">
        <v>150</v>
      </c>
      <c r="BQ199" s="208">
        <f t="shared" si="214"/>
        <v>12</v>
      </c>
      <c r="BR199" s="175">
        <f t="shared" si="213"/>
        <v>732</v>
      </c>
    </row>
    <row r="200" spans="1:70" ht="25.8" thickBot="1" x14ac:dyDescent="0.65">
      <c r="A200" s="64">
        <v>192</v>
      </c>
      <c r="B200" s="166" t="s">
        <v>105</v>
      </c>
      <c r="C200" s="156" t="s">
        <v>23</v>
      </c>
      <c r="D200" s="172" t="s">
        <v>147</v>
      </c>
      <c r="E200" s="168">
        <v>6</v>
      </c>
      <c r="F200" s="160">
        <f t="shared" ref="F200:F210" si="363">+E200*$C$1</f>
        <v>3199.9800000000005</v>
      </c>
      <c r="G200" s="160">
        <f t="shared" si="357"/>
        <v>1590</v>
      </c>
      <c r="H200" s="161">
        <f t="shared" ref="H200:H210" si="364">+F200+G200</f>
        <v>4789.9800000000005</v>
      </c>
      <c r="I200" s="162">
        <v>9</v>
      </c>
      <c r="J200" s="88">
        <v>9</v>
      </c>
      <c r="L200" s="169">
        <v>46481</v>
      </c>
      <c r="M200" s="164"/>
      <c r="N200" s="165" t="str">
        <f t="shared" ca="1" si="316"/>
        <v>O.K.</v>
      </c>
      <c r="W200" s="1" t="s">
        <v>105</v>
      </c>
      <c r="X200" s="50">
        <v>270</v>
      </c>
      <c r="Y200" s="49">
        <v>120</v>
      </c>
      <c r="Z200" s="49">
        <v>120</v>
      </c>
      <c r="AA200" s="49">
        <v>120</v>
      </c>
      <c r="AB200" s="49">
        <v>120</v>
      </c>
      <c r="AC200" s="31">
        <v>132.6</v>
      </c>
      <c r="AD200" s="28">
        <f t="shared" si="278"/>
        <v>12.599999999999994</v>
      </c>
      <c r="AE200" s="52">
        <v>54</v>
      </c>
      <c r="AF200" s="52">
        <f>+(210)+(60)+(0)+(0)+(0)+(54)</f>
        <v>324</v>
      </c>
      <c r="AG200" s="49">
        <v>120</v>
      </c>
      <c r="AH200" s="63">
        <f t="shared" si="315"/>
        <v>270.60000000000002</v>
      </c>
      <c r="AI200" s="52">
        <f t="shared" si="81"/>
        <v>0</v>
      </c>
      <c r="AJ200" s="52">
        <f>+(210.6)+(0)+(0)+(0)+(0)+(0)</f>
        <v>210.6</v>
      </c>
      <c r="AK200" s="49">
        <v>120</v>
      </c>
      <c r="AL200" s="31">
        <f t="shared" si="317"/>
        <v>361.20000000000005</v>
      </c>
      <c r="AM200" s="52">
        <f t="shared" si="339"/>
        <v>0</v>
      </c>
      <c r="AN200" s="52">
        <f>+(186)+(67.2)+(0)+(0)+(175.2)+(96)</f>
        <v>524.4</v>
      </c>
      <c r="AO200" s="72">
        <v>120</v>
      </c>
      <c r="AP200" s="74">
        <f t="shared" si="302"/>
        <v>765.6</v>
      </c>
      <c r="AQ200" s="76">
        <f>+(0)+(0)+(0)+(0)+(54)+(0)</f>
        <v>54</v>
      </c>
      <c r="AR200" s="76">
        <f t="shared" si="340"/>
        <v>0</v>
      </c>
      <c r="AS200" s="74">
        <v>120</v>
      </c>
      <c r="AT200" s="74">
        <f t="shared" si="303"/>
        <v>699.6</v>
      </c>
      <c r="AU200" s="73">
        <f t="shared" si="257"/>
        <v>0</v>
      </c>
      <c r="AV200" s="73">
        <f>+(151.2)+(0)+(96)+(0)+(0)+(0)+(0)+(0)</f>
        <v>247.2</v>
      </c>
      <c r="AW200" s="73">
        <v>120</v>
      </c>
      <c r="AX200" s="73">
        <f t="shared" si="341"/>
        <v>826.8</v>
      </c>
      <c r="AY200" s="109">
        <f>+(78)+(30)+(0)+(114)</f>
        <v>222</v>
      </c>
      <c r="AZ200" s="109">
        <f>+(0)+(60)+(0)+(0)+(0)+(0)+(30)+(0)</f>
        <v>90</v>
      </c>
      <c r="BA200" s="61">
        <v>120</v>
      </c>
      <c r="BB200" s="61">
        <f t="shared" si="318"/>
        <v>1018.8</v>
      </c>
      <c r="BD200" s="88">
        <v>0</v>
      </c>
      <c r="BE200" s="88">
        <v>0</v>
      </c>
      <c r="BF200" s="88">
        <v>0</v>
      </c>
      <c r="BG200" s="88">
        <v>0</v>
      </c>
      <c r="BH200" s="88">
        <v>0</v>
      </c>
      <c r="BI200" s="88">
        <v>0</v>
      </c>
      <c r="BJ200" s="88">
        <v>0</v>
      </c>
      <c r="BK200" s="88">
        <v>0</v>
      </c>
      <c r="BL200" s="88">
        <v>0</v>
      </c>
      <c r="BM200" s="88">
        <v>0</v>
      </c>
      <c r="BN200" s="88">
        <v>0</v>
      </c>
      <c r="BO200" s="88">
        <v>0</v>
      </c>
      <c r="BP200" s="210">
        <v>120</v>
      </c>
      <c r="BQ200" s="208">
        <f t="shared" si="214"/>
        <v>898.8</v>
      </c>
      <c r="BR200" s="175">
        <f t="shared" si="213"/>
        <v>1590</v>
      </c>
    </row>
    <row r="201" spans="1:70" ht="25.8" thickBot="1" x14ac:dyDescent="0.65">
      <c r="A201" s="64">
        <v>193</v>
      </c>
      <c r="B201" s="90" t="s">
        <v>107</v>
      </c>
      <c r="C201" s="91" t="s">
        <v>19</v>
      </c>
      <c r="D201" s="90" t="s">
        <v>14</v>
      </c>
      <c r="E201" s="92">
        <v>15</v>
      </c>
      <c r="F201" s="93">
        <f t="shared" si="363"/>
        <v>7999.9500000000007</v>
      </c>
      <c r="G201" s="93">
        <f t="shared" si="357"/>
        <v>2702.6</v>
      </c>
      <c r="H201" s="94">
        <f t="shared" si="364"/>
        <v>10702.550000000001</v>
      </c>
      <c r="I201" s="95">
        <v>2</v>
      </c>
      <c r="J201" s="88">
        <v>2</v>
      </c>
      <c r="L201" s="100" t="s">
        <v>222</v>
      </c>
      <c r="M201" s="96"/>
      <c r="N201" s="97" t="s">
        <v>25</v>
      </c>
      <c r="W201" s="1" t="s">
        <v>107</v>
      </c>
      <c r="X201" s="50">
        <v>2330</v>
      </c>
      <c r="Y201" s="49">
        <v>96</v>
      </c>
      <c r="Z201" s="49">
        <v>96</v>
      </c>
      <c r="AA201" s="49">
        <v>96</v>
      </c>
      <c r="AB201" s="49">
        <v>0</v>
      </c>
      <c r="AC201" s="31">
        <v>0</v>
      </c>
      <c r="AD201" s="28">
        <f t="shared" ref="AD201:AD210" si="365">+AC201-AB201</f>
        <v>0</v>
      </c>
      <c r="AE201" s="52">
        <v>0</v>
      </c>
      <c r="AF201" s="52">
        <f t="shared" ref="AF201:AF360" si="366">+(0)+(0)+(0)+(0)+(0)+(0)</f>
        <v>0</v>
      </c>
      <c r="AG201" s="49">
        <v>0</v>
      </c>
      <c r="AH201" s="22">
        <f t="shared" si="315"/>
        <v>0</v>
      </c>
      <c r="AI201" s="52">
        <f t="shared" ref="AI201:AJ293" si="367">+(0)+(0)+(0)+(0)+(0)+(0)</f>
        <v>0</v>
      </c>
      <c r="AJ201" s="52">
        <f t="shared" si="367"/>
        <v>0</v>
      </c>
      <c r="AK201" s="49">
        <v>0</v>
      </c>
      <c r="AL201" s="31">
        <f t="shared" si="317"/>
        <v>0</v>
      </c>
      <c r="AM201" s="52">
        <f t="shared" si="339"/>
        <v>0</v>
      </c>
      <c r="AN201" s="52">
        <f t="shared" si="339"/>
        <v>0</v>
      </c>
      <c r="AO201" s="72">
        <v>0</v>
      </c>
      <c r="AP201" s="74">
        <f t="shared" si="302"/>
        <v>0</v>
      </c>
      <c r="AQ201" s="76">
        <f t="shared" si="340"/>
        <v>0</v>
      </c>
      <c r="AR201" s="76">
        <f t="shared" si="340"/>
        <v>0</v>
      </c>
      <c r="AS201" s="74">
        <v>0</v>
      </c>
      <c r="AT201" s="74">
        <f t="shared" si="303"/>
        <v>0</v>
      </c>
      <c r="AU201" s="73">
        <f>+(0)+(0)+(0)+(54.6)</f>
        <v>54.6</v>
      </c>
      <c r="AV201" s="73">
        <f t="shared" si="266"/>
        <v>0</v>
      </c>
      <c r="AW201" s="73">
        <v>54.6</v>
      </c>
      <c r="AX201" s="73">
        <f t="shared" si="341"/>
        <v>0</v>
      </c>
      <c r="AY201" s="109">
        <f>+(0)+(30)+(0)+(0)</f>
        <v>30</v>
      </c>
      <c r="AZ201" s="109">
        <f t="shared" si="244"/>
        <v>0</v>
      </c>
      <c r="BA201" s="61">
        <v>30</v>
      </c>
      <c r="BB201" s="61">
        <f t="shared" si="318"/>
        <v>0</v>
      </c>
      <c r="BD201" s="88">
        <v>0</v>
      </c>
      <c r="BE201" s="88">
        <v>0</v>
      </c>
      <c r="BF201" s="88">
        <v>0</v>
      </c>
      <c r="BG201" s="88">
        <v>0</v>
      </c>
      <c r="BH201" s="88">
        <v>0</v>
      </c>
      <c r="BI201" s="88">
        <v>0</v>
      </c>
      <c r="BJ201" s="88">
        <v>0</v>
      </c>
      <c r="BK201" s="88">
        <v>0</v>
      </c>
      <c r="BL201" s="88">
        <v>0</v>
      </c>
      <c r="BM201" s="88">
        <v>0</v>
      </c>
      <c r="BN201" s="88">
        <v>0</v>
      </c>
      <c r="BO201" s="88">
        <v>0</v>
      </c>
      <c r="BP201" s="210">
        <v>0</v>
      </c>
      <c r="BQ201" s="208">
        <f t="shared" si="214"/>
        <v>0</v>
      </c>
      <c r="BR201" s="175">
        <f t="shared" ref="BR201:BR210" si="368">SUM(X201:AA201)+AB201+AG201+AK201+AO201+AS201+AW201+BA201+BP201</f>
        <v>2702.6</v>
      </c>
    </row>
    <row r="202" spans="1:70" ht="25.8" thickBot="1" x14ac:dyDescent="0.65">
      <c r="A202" s="64">
        <v>194</v>
      </c>
      <c r="B202" s="112" t="s">
        <v>372</v>
      </c>
      <c r="C202" s="113" t="s">
        <v>20</v>
      </c>
      <c r="D202" s="114">
        <v>43269</v>
      </c>
      <c r="E202" s="116">
        <v>3</v>
      </c>
      <c r="F202" s="116">
        <f t="shared" si="363"/>
        <v>1599.9900000000002</v>
      </c>
      <c r="G202" s="116">
        <f t="shared" ref="G202" si="369">+BR202</f>
        <v>1680</v>
      </c>
      <c r="H202" s="117">
        <f t="shared" si="364"/>
        <v>3279.9900000000002</v>
      </c>
      <c r="I202" s="118">
        <v>12</v>
      </c>
      <c r="J202" s="88">
        <v>12</v>
      </c>
      <c r="L202" s="128">
        <v>46191</v>
      </c>
      <c r="M202" s="129"/>
      <c r="N202" s="121" t="str">
        <f t="shared" ref="N202:N210" ca="1" si="370">IF($B$2&lt;L202,"O.K.","A L E R T A ")</f>
        <v>O.K.</v>
      </c>
      <c r="W202" s="1" t="s">
        <v>372</v>
      </c>
      <c r="X202" s="48">
        <v>384</v>
      </c>
      <c r="Y202" s="48">
        <v>0</v>
      </c>
      <c r="Z202" s="49">
        <v>0</v>
      </c>
      <c r="AA202" s="49">
        <v>96</v>
      </c>
      <c r="AB202" s="49">
        <v>150</v>
      </c>
      <c r="AC202" s="31">
        <v>305.5</v>
      </c>
      <c r="AD202" s="28">
        <f t="shared" si="365"/>
        <v>155.5</v>
      </c>
      <c r="AE202" s="52">
        <f>78+54.6+37.8</f>
        <v>170.39999999999998</v>
      </c>
      <c r="AF202" s="52">
        <f>+(0)+(0)+(0)+(0)+(54)+(162)</f>
        <v>216</v>
      </c>
      <c r="AG202" s="49">
        <v>150</v>
      </c>
      <c r="AH202" s="22">
        <f t="shared" si="315"/>
        <v>391.9</v>
      </c>
      <c r="AI202" s="52">
        <f>+(0)+(0)+(37.8)+(0)+(0)+(0)</f>
        <v>37.799999999999997</v>
      </c>
      <c r="AJ202" s="52">
        <f>+(0)+(0)+(0)+(0)+(0)+(0)</f>
        <v>0</v>
      </c>
      <c r="AK202" s="49">
        <v>150</v>
      </c>
      <c r="AL202" s="31">
        <f t="shared" si="317"/>
        <v>279.7</v>
      </c>
      <c r="AM202" s="52">
        <f t="shared" si="339"/>
        <v>0</v>
      </c>
      <c r="AN202" s="52">
        <f>+(0)+(0)+(0)+(0)+(0)+(192)</f>
        <v>192</v>
      </c>
      <c r="AO202" s="72">
        <v>150</v>
      </c>
      <c r="AP202" s="84">
        <f t="shared" si="302"/>
        <v>321.7</v>
      </c>
      <c r="AQ202" s="76">
        <f>+(0)+(0)+(0)+(0)+(108)+(0)</f>
        <v>108</v>
      </c>
      <c r="AR202" s="76">
        <f>+(0)+(48)+(0)+(0)+(0)+(0)</f>
        <v>48</v>
      </c>
      <c r="AS202" s="74">
        <v>150</v>
      </c>
      <c r="AT202" s="84">
        <f t="shared" si="303"/>
        <v>327.7</v>
      </c>
      <c r="AU202" s="73">
        <f>+(78)+(0)+(108)+(243.6)</f>
        <v>429.6</v>
      </c>
      <c r="AV202" s="73">
        <f>+(0)+(0)+(96)+(0)+(0)+(0)+(0)+(0)</f>
        <v>96</v>
      </c>
      <c r="AW202" s="73">
        <v>150</v>
      </c>
      <c r="AX202" s="73">
        <f>+AT202+AU202+AV202-AW202</f>
        <v>703.3</v>
      </c>
      <c r="AY202" s="109">
        <f t="shared" si="241"/>
        <v>0</v>
      </c>
      <c r="AZ202" s="109">
        <f t="shared" si="244"/>
        <v>0</v>
      </c>
      <c r="BA202" s="61">
        <v>150</v>
      </c>
      <c r="BB202" s="61">
        <f t="shared" si="318"/>
        <v>553.29999999999995</v>
      </c>
      <c r="BD202" s="88">
        <v>0</v>
      </c>
      <c r="BE202" s="88">
        <v>0</v>
      </c>
      <c r="BF202" s="88">
        <v>0</v>
      </c>
      <c r="BG202" s="88">
        <v>0</v>
      </c>
      <c r="BH202" s="88">
        <v>0</v>
      </c>
      <c r="BI202" s="88">
        <v>0</v>
      </c>
      <c r="BJ202" s="88">
        <v>0</v>
      </c>
      <c r="BK202" s="88">
        <v>0</v>
      </c>
      <c r="BL202" s="88">
        <v>0</v>
      </c>
      <c r="BM202" s="88">
        <v>0</v>
      </c>
      <c r="BN202" s="88">
        <v>0</v>
      </c>
      <c r="BO202" s="88">
        <v>0</v>
      </c>
      <c r="BP202" s="210">
        <v>150</v>
      </c>
      <c r="BQ202" s="208">
        <f t="shared" ref="BQ202:BQ210" si="371">+BB202+SUM(BD202:BG202)+SUM(BH202:BO202)-BP202</f>
        <v>403.29999999999995</v>
      </c>
      <c r="BR202" s="175">
        <f t="shared" si="368"/>
        <v>1680</v>
      </c>
    </row>
    <row r="203" spans="1:70" ht="25.8" thickBot="1" x14ac:dyDescent="0.65">
      <c r="A203" s="64">
        <v>195</v>
      </c>
      <c r="B203" s="166" t="s">
        <v>381</v>
      </c>
      <c r="C203" s="156" t="s">
        <v>20</v>
      </c>
      <c r="D203" s="167">
        <v>44893</v>
      </c>
      <c r="E203" s="160">
        <v>3</v>
      </c>
      <c r="F203" s="160">
        <f t="shared" ref="F203" si="372">+E203*$C$1</f>
        <v>1599.9900000000002</v>
      </c>
      <c r="G203" s="160">
        <f t="shared" ref="G203" si="373">+BR203</f>
        <v>606.6</v>
      </c>
      <c r="H203" s="161">
        <f t="shared" ref="H203" si="374">+F203+G203</f>
        <v>2206.59</v>
      </c>
      <c r="I203" s="162">
        <v>13</v>
      </c>
      <c r="J203" s="88">
        <v>13</v>
      </c>
      <c r="L203" s="196">
        <v>46569</v>
      </c>
      <c r="M203" s="197"/>
      <c r="N203" s="165" t="str">
        <f t="shared" ca="1" si="370"/>
        <v>O.K.</v>
      </c>
      <c r="W203" s="1" t="s">
        <v>381</v>
      </c>
      <c r="X203" s="48">
        <v>0</v>
      </c>
      <c r="Y203" s="48">
        <v>0</v>
      </c>
      <c r="Z203" s="49">
        <v>0</v>
      </c>
      <c r="AA203" s="49">
        <v>0</v>
      </c>
      <c r="AB203" s="49">
        <v>0</v>
      </c>
      <c r="AC203" s="31">
        <v>0</v>
      </c>
      <c r="AD203" s="28">
        <f t="shared" si="365"/>
        <v>0</v>
      </c>
      <c r="AE203" s="52">
        <v>0</v>
      </c>
      <c r="AF203" s="52">
        <v>0</v>
      </c>
      <c r="AG203" s="49">
        <v>0</v>
      </c>
      <c r="AH203" s="22">
        <f t="shared" si="315"/>
        <v>0</v>
      </c>
      <c r="AI203" s="52">
        <v>0</v>
      </c>
      <c r="AJ203" s="52">
        <v>0</v>
      </c>
      <c r="AK203" s="49">
        <v>0</v>
      </c>
      <c r="AL203" s="31">
        <f t="shared" si="317"/>
        <v>0</v>
      </c>
      <c r="AM203" s="52">
        <f t="shared" si="339"/>
        <v>0</v>
      </c>
      <c r="AN203" s="52">
        <f>+(0)+(0)+(0)+(0)+(0)+(96)</f>
        <v>96</v>
      </c>
      <c r="AO203" s="72">
        <v>96</v>
      </c>
      <c r="AP203" s="84">
        <f t="shared" si="302"/>
        <v>0</v>
      </c>
      <c r="AQ203" s="76">
        <f>+(0)+(0)+(0)+(0)+(54)+(0)</f>
        <v>54</v>
      </c>
      <c r="AR203" s="76">
        <f>+(0)+(42)+(0)+(0)+(0)+(0)</f>
        <v>42</v>
      </c>
      <c r="AS203" s="74">
        <v>96</v>
      </c>
      <c r="AT203" s="84">
        <f t="shared" si="303"/>
        <v>0</v>
      </c>
      <c r="AU203" s="73">
        <f>+(0)+(0)+(0)+(174)</f>
        <v>174</v>
      </c>
      <c r="AV203" s="73">
        <f>+(0)+(0)+(0)+(0)+(0)+(0)+(162.6)+(0)</f>
        <v>162.6</v>
      </c>
      <c r="AW203" s="73">
        <v>150</v>
      </c>
      <c r="AX203" s="73">
        <f t="shared" ref="AX203:AX210" si="375">+AT203+AU203+AV203-AW203</f>
        <v>186.60000000000002</v>
      </c>
      <c r="AY203" s="109">
        <f t="shared" si="241"/>
        <v>0</v>
      </c>
      <c r="AZ203" s="109">
        <f>+(0)+(0)+(78)+(0)+(0)+(0)+(0)+(0)</f>
        <v>78</v>
      </c>
      <c r="BA203" s="61">
        <v>150</v>
      </c>
      <c r="BB203" s="61">
        <f t="shared" si="318"/>
        <v>114.60000000000002</v>
      </c>
      <c r="BD203" s="88">
        <v>0</v>
      </c>
      <c r="BE203" s="88">
        <v>0</v>
      </c>
      <c r="BF203" s="88">
        <v>0</v>
      </c>
      <c r="BG203" s="88">
        <v>0</v>
      </c>
      <c r="BH203" s="88">
        <v>0</v>
      </c>
      <c r="BI203" s="88">
        <v>0</v>
      </c>
      <c r="BJ203" s="88">
        <v>0</v>
      </c>
      <c r="BK203" s="88">
        <v>0</v>
      </c>
      <c r="BL203" s="88">
        <v>0</v>
      </c>
      <c r="BM203" s="88">
        <v>0</v>
      </c>
      <c r="BN203" s="88">
        <v>0</v>
      </c>
      <c r="BO203" s="88">
        <v>0</v>
      </c>
      <c r="BP203" s="210">
        <v>114.6</v>
      </c>
      <c r="BQ203" s="208">
        <f t="shared" si="371"/>
        <v>0</v>
      </c>
      <c r="BR203" s="175">
        <f t="shared" si="368"/>
        <v>606.6</v>
      </c>
    </row>
    <row r="204" spans="1:70" ht="25.8" thickBot="1" x14ac:dyDescent="0.65">
      <c r="A204" s="64">
        <v>196</v>
      </c>
      <c r="B204" s="166" t="s">
        <v>518</v>
      </c>
      <c r="C204" s="156" t="s">
        <v>171</v>
      </c>
      <c r="D204" s="167">
        <v>45895</v>
      </c>
      <c r="E204" s="160">
        <v>0</v>
      </c>
      <c r="F204" s="160">
        <f t="shared" ref="F204" si="376">+E204*$C$1</f>
        <v>0</v>
      </c>
      <c r="G204" s="160">
        <f t="shared" ref="G204" si="377">+BR204</f>
        <v>0</v>
      </c>
      <c r="H204" s="161">
        <f t="shared" ref="H204" si="378">+F204+G204</f>
        <v>0</v>
      </c>
      <c r="I204" s="162">
        <v>15</v>
      </c>
      <c r="J204" s="88">
        <v>15</v>
      </c>
      <c r="L204" s="196">
        <v>46625</v>
      </c>
      <c r="M204" s="197"/>
      <c r="N204" s="165" t="str">
        <f t="shared" ca="1" si="370"/>
        <v>O.K.</v>
      </c>
      <c r="W204" s="1" t="s">
        <v>518</v>
      </c>
      <c r="X204" s="48"/>
      <c r="Y204" s="48"/>
      <c r="Z204" s="49"/>
      <c r="AA204" s="49"/>
      <c r="AB204" s="49"/>
      <c r="AC204" s="31"/>
      <c r="AD204" s="28"/>
      <c r="AE204" s="52"/>
      <c r="AF204" s="52"/>
      <c r="AG204" s="49"/>
      <c r="AH204" s="22"/>
      <c r="AI204" s="52"/>
      <c r="AJ204" s="52"/>
      <c r="AK204" s="49"/>
      <c r="AL204" s="31"/>
      <c r="AM204" s="52"/>
      <c r="AN204" s="52"/>
      <c r="AO204" s="72"/>
      <c r="AP204" s="84"/>
      <c r="AQ204" s="76"/>
      <c r="AR204" s="76"/>
      <c r="AS204" s="74"/>
      <c r="AT204" s="84"/>
      <c r="AU204" s="73"/>
      <c r="AV204" s="73"/>
      <c r="AW204" s="73"/>
      <c r="AX204" s="73"/>
      <c r="AY204" s="109"/>
      <c r="AZ204" s="109"/>
      <c r="BA204" s="61"/>
      <c r="BB204" s="61"/>
      <c r="BD204" s="88">
        <v>0</v>
      </c>
      <c r="BE204" s="88">
        <v>0</v>
      </c>
      <c r="BF204" s="88">
        <v>0</v>
      </c>
      <c r="BG204" s="88">
        <v>0</v>
      </c>
      <c r="BH204" s="88">
        <v>0</v>
      </c>
      <c r="BI204" s="88">
        <v>0</v>
      </c>
      <c r="BJ204" s="88">
        <v>0</v>
      </c>
      <c r="BK204" s="88">
        <v>0</v>
      </c>
      <c r="BL204" s="88">
        <v>0</v>
      </c>
      <c r="BM204" s="88">
        <v>0</v>
      </c>
      <c r="BN204" s="88">
        <v>0</v>
      </c>
      <c r="BO204" s="88">
        <v>0</v>
      </c>
      <c r="BP204" s="210">
        <v>0</v>
      </c>
      <c r="BQ204" s="208">
        <f t="shared" ref="BQ204" si="379">+BB204+SUM(BD204:BG204)+SUM(BH204:BO204)-BP204</f>
        <v>0</v>
      </c>
      <c r="BR204" s="175">
        <f t="shared" ref="BR204" si="380">SUM(X204:AA204)+AB204+AG204+AK204+AO204+AS204+AW204+BA204+BP204</f>
        <v>0</v>
      </c>
    </row>
    <row r="205" spans="1:70" ht="25.8" thickBot="1" x14ac:dyDescent="0.65">
      <c r="A205" s="64">
        <v>197</v>
      </c>
      <c r="B205" s="112" t="s">
        <v>422</v>
      </c>
      <c r="C205" s="113" t="s">
        <v>21</v>
      </c>
      <c r="D205" s="114">
        <v>45320</v>
      </c>
      <c r="E205" s="115">
        <v>0</v>
      </c>
      <c r="F205" s="116">
        <f t="shared" ref="F205" si="381">+E205*$C$1</f>
        <v>0</v>
      </c>
      <c r="G205" s="116">
        <f t="shared" ref="G205" si="382">+BR205</f>
        <v>307.8</v>
      </c>
      <c r="H205" s="117">
        <f t="shared" ref="H205" si="383">+F205+G205</f>
        <v>307.8</v>
      </c>
      <c r="I205" s="118">
        <v>15</v>
      </c>
      <c r="J205" s="88">
        <v>15</v>
      </c>
      <c r="L205" s="122">
        <v>46051</v>
      </c>
      <c r="M205" s="120"/>
      <c r="N205" s="121" t="str">
        <f t="shared" ca="1" si="370"/>
        <v>O.K.</v>
      </c>
      <c r="W205" s="1" t="s">
        <v>422</v>
      </c>
      <c r="X205" s="68">
        <v>307.8</v>
      </c>
      <c r="Y205" s="49">
        <v>0</v>
      </c>
      <c r="Z205" s="49">
        <v>0</v>
      </c>
      <c r="AA205" s="49">
        <v>0</v>
      </c>
      <c r="AB205" s="49">
        <v>0</v>
      </c>
      <c r="AC205" s="31">
        <v>0</v>
      </c>
      <c r="AD205" s="28">
        <f t="shared" si="365"/>
        <v>0</v>
      </c>
      <c r="AE205" s="52">
        <v>0</v>
      </c>
      <c r="AF205" s="52">
        <v>0</v>
      </c>
      <c r="AG205" s="49">
        <v>0</v>
      </c>
      <c r="AH205" s="22">
        <f t="shared" si="315"/>
        <v>0</v>
      </c>
      <c r="AI205" s="52">
        <v>0</v>
      </c>
      <c r="AJ205" s="52">
        <v>0</v>
      </c>
      <c r="AK205" s="49">
        <v>0</v>
      </c>
      <c r="AL205" s="31">
        <f t="shared" si="317"/>
        <v>0</v>
      </c>
      <c r="AM205" s="52">
        <v>0</v>
      </c>
      <c r="AN205" s="52">
        <v>0</v>
      </c>
      <c r="AO205" s="72">
        <v>0</v>
      </c>
      <c r="AP205" s="74">
        <f t="shared" si="302"/>
        <v>0</v>
      </c>
      <c r="AQ205" s="76">
        <v>0</v>
      </c>
      <c r="AR205" s="76">
        <v>0</v>
      </c>
      <c r="AS205" s="74">
        <v>0</v>
      </c>
      <c r="AT205" s="74">
        <f t="shared" si="303"/>
        <v>0</v>
      </c>
      <c r="AU205" s="73">
        <f t="shared" si="257"/>
        <v>0</v>
      </c>
      <c r="AV205" s="73">
        <f>+(0)+(0)+(0)+(0)+(0)+(0)+(0)+(0)</f>
        <v>0</v>
      </c>
      <c r="AW205" s="73">
        <v>0</v>
      </c>
      <c r="AX205" s="73">
        <f t="shared" si="375"/>
        <v>0</v>
      </c>
      <c r="AY205" s="109">
        <f t="shared" si="241"/>
        <v>0</v>
      </c>
      <c r="AZ205" s="109">
        <f t="shared" si="244"/>
        <v>0</v>
      </c>
      <c r="BA205" s="61">
        <v>0</v>
      </c>
      <c r="BB205" s="61">
        <f t="shared" si="318"/>
        <v>0</v>
      </c>
      <c r="BD205" s="88">
        <v>0</v>
      </c>
      <c r="BE205" s="88">
        <v>0</v>
      </c>
      <c r="BF205" s="88">
        <v>0</v>
      </c>
      <c r="BG205" s="88">
        <v>0</v>
      </c>
      <c r="BH205" s="88">
        <v>0</v>
      </c>
      <c r="BI205" s="88">
        <v>0</v>
      </c>
      <c r="BJ205" s="88">
        <v>0</v>
      </c>
      <c r="BK205" s="88">
        <v>0</v>
      </c>
      <c r="BL205" s="88">
        <v>0</v>
      </c>
      <c r="BM205" s="88">
        <v>0</v>
      </c>
      <c r="BN205" s="88">
        <v>0</v>
      </c>
      <c r="BO205" s="88">
        <v>0</v>
      </c>
      <c r="BP205" s="210">
        <v>0</v>
      </c>
      <c r="BQ205" s="208">
        <f t="shared" si="371"/>
        <v>0</v>
      </c>
      <c r="BR205" s="175">
        <f t="shared" si="368"/>
        <v>307.8</v>
      </c>
    </row>
    <row r="206" spans="1:70" ht="25.8" thickBot="1" x14ac:dyDescent="0.65">
      <c r="A206" s="64">
        <v>198</v>
      </c>
      <c r="B206" s="112" t="s">
        <v>108</v>
      </c>
      <c r="C206" s="113" t="s">
        <v>23</v>
      </c>
      <c r="D206" s="112" t="s">
        <v>168</v>
      </c>
      <c r="E206" s="115">
        <v>13</v>
      </c>
      <c r="F206" s="116">
        <f t="shared" si="363"/>
        <v>6933.2900000000009</v>
      </c>
      <c r="G206" s="116">
        <f t="shared" si="357"/>
        <v>2160</v>
      </c>
      <c r="H206" s="117">
        <f t="shared" si="364"/>
        <v>9093.2900000000009</v>
      </c>
      <c r="I206" s="118">
        <v>4</v>
      </c>
      <c r="J206" s="88">
        <v>4</v>
      </c>
      <c r="L206" s="122">
        <v>46235</v>
      </c>
      <c r="M206" s="120"/>
      <c r="N206" s="121" t="str">
        <f t="shared" ca="1" si="370"/>
        <v>O.K.</v>
      </c>
      <c r="W206" s="1" t="s">
        <v>108</v>
      </c>
      <c r="X206" s="50">
        <v>1560</v>
      </c>
      <c r="Y206" s="49">
        <v>96</v>
      </c>
      <c r="Z206" s="49">
        <v>96</v>
      </c>
      <c r="AA206" s="49">
        <v>96</v>
      </c>
      <c r="AB206" s="49">
        <v>0</v>
      </c>
      <c r="AC206" s="31">
        <v>0</v>
      </c>
      <c r="AD206" s="28">
        <f t="shared" si="365"/>
        <v>0</v>
      </c>
      <c r="AE206" s="52">
        <v>0</v>
      </c>
      <c r="AF206" s="52">
        <f>+(0)+(0)+(0)+(0)+(0)+(54)</f>
        <v>54</v>
      </c>
      <c r="AG206" s="49">
        <v>54</v>
      </c>
      <c r="AH206" s="22">
        <f t="shared" si="315"/>
        <v>0</v>
      </c>
      <c r="AI206" s="52">
        <f t="shared" si="367"/>
        <v>0</v>
      </c>
      <c r="AJ206" s="52">
        <f t="shared" si="367"/>
        <v>0</v>
      </c>
      <c r="AK206" s="49">
        <v>0</v>
      </c>
      <c r="AL206" s="69">
        <f t="shared" si="317"/>
        <v>0</v>
      </c>
      <c r="AM206" s="52">
        <f t="shared" si="339"/>
        <v>0</v>
      </c>
      <c r="AN206" s="52">
        <f>+(0)+(0)+(0)+(0)+(0)+(108)</f>
        <v>108</v>
      </c>
      <c r="AO206" s="72">
        <v>108</v>
      </c>
      <c r="AP206" s="74">
        <f t="shared" si="302"/>
        <v>0</v>
      </c>
      <c r="AQ206" s="76">
        <f>+(0)+(0)+(0)+(0)+(54)+(0)</f>
        <v>54</v>
      </c>
      <c r="AR206" s="76">
        <f t="shared" si="340"/>
        <v>0</v>
      </c>
      <c r="AS206" s="74">
        <v>54</v>
      </c>
      <c r="AT206" s="74">
        <f t="shared" si="303"/>
        <v>0</v>
      </c>
      <c r="AU206" s="73">
        <f t="shared" si="257"/>
        <v>0</v>
      </c>
      <c r="AV206" s="73">
        <f>+(0)+(0)+(96)+(0)+(0)+(0)+(0)+(0)</f>
        <v>96</v>
      </c>
      <c r="AW206" s="73">
        <v>96</v>
      </c>
      <c r="AX206" s="73">
        <f t="shared" si="375"/>
        <v>0</v>
      </c>
      <c r="AY206" s="109">
        <f t="shared" si="241"/>
        <v>0</v>
      </c>
      <c r="AZ206" s="109">
        <f t="shared" si="244"/>
        <v>0</v>
      </c>
      <c r="BA206" s="61">
        <v>0</v>
      </c>
      <c r="BB206" s="61">
        <f t="shared" si="318"/>
        <v>0</v>
      </c>
      <c r="BD206" s="88">
        <v>0</v>
      </c>
      <c r="BE206" s="88">
        <v>0</v>
      </c>
      <c r="BF206" s="88">
        <v>0</v>
      </c>
      <c r="BG206" s="88">
        <v>0</v>
      </c>
      <c r="BH206" s="88">
        <v>0</v>
      </c>
      <c r="BI206" s="88">
        <v>0</v>
      </c>
      <c r="BJ206" s="88">
        <v>0</v>
      </c>
      <c r="BK206" s="88">
        <v>0</v>
      </c>
      <c r="BL206" s="88">
        <v>0</v>
      </c>
      <c r="BM206" s="88">
        <v>0</v>
      </c>
      <c r="BN206" s="88">
        <v>0</v>
      </c>
      <c r="BO206" s="88">
        <v>0</v>
      </c>
      <c r="BP206" s="210">
        <v>0</v>
      </c>
      <c r="BQ206" s="208">
        <f t="shared" si="371"/>
        <v>0</v>
      </c>
      <c r="BR206" s="175">
        <f t="shared" si="368"/>
        <v>2160</v>
      </c>
    </row>
    <row r="207" spans="1:70" ht="25.8" thickBot="1" x14ac:dyDescent="0.65">
      <c r="A207" s="64">
        <v>199</v>
      </c>
      <c r="B207" s="166" t="s">
        <v>389</v>
      </c>
      <c r="C207" s="156" t="s">
        <v>20</v>
      </c>
      <c r="D207" s="167">
        <v>44927</v>
      </c>
      <c r="E207" s="168">
        <v>3</v>
      </c>
      <c r="F207" s="160">
        <f t="shared" ref="F207" si="384">+E207*$C$1</f>
        <v>1599.9900000000002</v>
      </c>
      <c r="G207" s="160">
        <f t="shared" ref="G207" si="385">+BR207</f>
        <v>1004.4</v>
      </c>
      <c r="H207" s="161">
        <f t="shared" ref="H207" si="386">+F207+G207</f>
        <v>2604.3900000000003</v>
      </c>
      <c r="I207" s="162">
        <v>12</v>
      </c>
      <c r="J207" s="88">
        <v>12</v>
      </c>
      <c r="K207" s="212" t="s">
        <v>315</v>
      </c>
      <c r="L207" s="169">
        <v>46674</v>
      </c>
      <c r="M207" s="164"/>
      <c r="N207" s="165" t="str">
        <f t="shared" ca="1" si="370"/>
        <v>O.K.</v>
      </c>
      <c r="W207" s="1" t="s">
        <v>389</v>
      </c>
      <c r="X207" s="126">
        <v>404.4</v>
      </c>
      <c r="Y207" s="49">
        <v>0</v>
      </c>
      <c r="Z207" s="49">
        <v>0</v>
      </c>
      <c r="AA207" s="49">
        <v>0</v>
      </c>
      <c r="AB207" s="49">
        <v>0</v>
      </c>
      <c r="AC207" s="31">
        <v>0</v>
      </c>
      <c r="AD207" s="28">
        <f t="shared" si="365"/>
        <v>0</v>
      </c>
      <c r="AE207" s="52">
        <v>0</v>
      </c>
      <c r="AF207" s="52">
        <v>0</v>
      </c>
      <c r="AG207" s="49">
        <v>0</v>
      </c>
      <c r="AH207" s="22">
        <f t="shared" si="315"/>
        <v>0</v>
      </c>
      <c r="AI207" s="52">
        <v>0</v>
      </c>
      <c r="AJ207" s="52">
        <v>0</v>
      </c>
      <c r="AK207" s="49">
        <v>0</v>
      </c>
      <c r="AL207" s="69">
        <f t="shared" si="317"/>
        <v>0</v>
      </c>
      <c r="AM207" s="52">
        <f t="shared" si="339"/>
        <v>0</v>
      </c>
      <c r="AN207" s="52">
        <f t="shared" si="339"/>
        <v>0</v>
      </c>
      <c r="AO207" s="72">
        <v>0</v>
      </c>
      <c r="AP207" s="74">
        <f t="shared" si="302"/>
        <v>0</v>
      </c>
      <c r="AQ207" s="76">
        <f>+(0)+(0)+(0)+(0)+(54)+(0)</f>
        <v>54</v>
      </c>
      <c r="AR207" s="76">
        <f>+(0)+(120)+(0)+(0)+(0)+(0)</f>
        <v>120</v>
      </c>
      <c r="AS207" s="74">
        <v>150</v>
      </c>
      <c r="AT207" s="74">
        <f t="shared" si="303"/>
        <v>24</v>
      </c>
      <c r="AU207" s="73">
        <f>+(0)+(120)+(0)+(78)</f>
        <v>198</v>
      </c>
      <c r="AV207" s="73">
        <f>+(0)+(0)+(0)+(0)+(0)+(0)+(78)+(0)</f>
        <v>78</v>
      </c>
      <c r="AW207" s="73">
        <v>150</v>
      </c>
      <c r="AX207" s="73">
        <f t="shared" si="375"/>
        <v>150</v>
      </c>
      <c r="AY207" s="109">
        <f t="shared" si="241"/>
        <v>0</v>
      </c>
      <c r="AZ207" s="109">
        <f>+(108.6)+(0)+(67.2)+(0)+(0)+(0)+(120)+(0)</f>
        <v>295.8</v>
      </c>
      <c r="BA207" s="61">
        <v>150</v>
      </c>
      <c r="BB207" s="61">
        <f t="shared" si="318"/>
        <v>295.8</v>
      </c>
      <c r="BD207" s="88">
        <v>0</v>
      </c>
      <c r="BE207" s="88">
        <v>0</v>
      </c>
      <c r="BF207" s="88">
        <v>0</v>
      </c>
      <c r="BG207" s="88">
        <v>0</v>
      </c>
      <c r="BH207" s="88">
        <v>0</v>
      </c>
      <c r="BI207" s="88">
        <v>0</v>
      </c>
      <c r="BJ207" s="88">
        <v>0</v>
      </c>
      <c r="BK207" s="88">
        <v>0</v>
      </c>
      <c r="BL207" s="88">
        <v>0</v>
      </c>
      <c r="BM207" s="88">
        <v>0</v>
      </c>
      <c r="BN207" s="88">
        <v>0</v>
      </c>
      <c r="BO207" s="88">
        <v>0</v>
      </c>
      <c r="BP207" s="210">
        <v>150</v>
      </c>
      <c r="BQ207" s="208">
        <f t="shared" si="371"/>
        <v>145.80000000000001</v>
      </c>
      <c r="BR207" s="175">
        <f t="shared" si="368"/>
        <v>1004.4</v>
      </c>
    </row>
    <row r="208" spans="1:70" ht="25.8" thickBot="1" x14ac:dyDescent="0.65">
      <c r="A208" s="64">
        <v>200</v>
      </c>
      <c r="B208" s="181" t="s">
        <v>346</v>
      </c>
      <c r="C208" s="182" t="s">
        <v>21</v>
      </c>
      <c r="D208" s="183">
        <v>45473</v>
      </c>
      <c r="E208" s="184">
        <v>2</v>
      </c>
      <c r="F208" s="185">
        <f t="shared" ref="F208" si="387">+E208*$C$1</f>
        <v>1066.6600000000001</v>
      </c>
      <c r="G208" s="185">
        <f t="shared" ref="G208" si="388">+BR208</f>
        <v>657.6</v>
      </c>
      <c r="H208" s="186">
        <f t="shared" ref="H208" si="389">+F208+G208</f>
        <v>1724.2600000000002</v>
      </c>
      <c r="I208" s="187">
        <v>13</v>
      </c>
      <c r="J208" s="88">
        <v>13</v>
      </c>
      <c r="K208" s="134" t="s">
        <v>307</v>
      </c>
      <c r="L208" s="214">
        <v>46722</v>
      </c>
      <c r="M208" s="188"/>
      <c r="N208" s="189" t="str">
        <f t="shared" ca="1" si="370"/>
        <v>O.K.</v>
      </c>
      <c r="W208" s="1" t="s">
        <v>346</v>
      </c>
      <c r="X208" s="68">
        <v>357.6</v>
      </c>
      <c r="Y208" s="49">
        <v>0</v>
      </c>
      <c r="Z208" s="49">
        <v>0</v>
      </c>
      <c r="AA208" s="49">
        <v>0</v>
      </c>
      <c r="AB208" s="49">
        <v>0</v>
      </c>
      <c r="AC208" s="31">
        <v>0</v>
      </c>
      <c r="AD208" s="28">
        <f t="shared" si="365"/>
        <v>0</v>
      </c>
      <c r="AE208" s="52">
        <v>0</v>
      </c>
      <c r="AF208" s="52">
        <v>0</v>
      </c>
      <c r="AG208" s="49">
        <v>0</v>
      </c>
      <c r="AH208" s="22">
        <f t="shared" si="315"/>
        <v>0</v>
      </c>
      <c r="AI208" s="52">
        <f t="shared" si="367"/>
        <v>0</v>
      </c>
      <c r="AJ208" s="52">
        <f t="shared" si="367"/>
        <v>0</v>
      </c>
      <c r="AK208" s="49">
        <v>0</v>
      </c>
      <c r="AL208" s="69">
        <f t="shared" si="317"/>
        <v>0</v>
      </c>
      <c r="AM208" s="52">
        <f t="shared" si="339"/>
        <v>0</v>
      </c>
      <c r="AN208" s="52">
        <f>+(0)+(0)+(0)+(0)+(0)+(0)</f>
        <v>0</v>
      </c>
      <c r="AO208" s="72">
        <v>0</v>
      </c>
      <c r="AP208" s="74">
        <f t="shared" si="302"/>
        <v>0</v>
      </c>
      <c r="AQ208" s="76">
        <f t="shared" si="340"/>
        <v>0</v>
      </c>
      <c r="AR208" s="76">
        <f>+(0)+(0)+(0)+(0)+(0)+(0)</f>
        <v>0</v>
      </c>
      <c r="AS208" s="74">
        <v>0</v>
      </c>
      <c r="AT208" s="74">
        <f t="shared" si="303"/>
        <v>0</v>
      </c>
      <c r="AU208" s="73">
        <f>+(0)+(0)+(0)+(0)</f>
        <v>0</v>
      </c>
      <c r="AV208" s="73">
        <f>+(0)+(0)+(0)+(0)+(0)+(0)+(0)+(0)</f>
        <v>0</v>
      </c>
      <c r="AW208" s="73">
        <v>0</v>
      </c>
      <c r="AX208" s="73">
        <f t="shared" si="375"/>
        <v>0</v>
      </c>
      <c r="AY208" s="109">
        <f>+(33.6)+(162)+(0)+(0)</f>
        <v>195.6</v>
      </c>
      <c r="AZ208" s="109">
        <f>+(0)+(175.2)+(0)+(0)+(60)+(0)+(0)+(120)</f>
        <v>355.2</v>
      </c>
      <c r="BA208" s="61">
        <v>150</v>
      </c>
      <c r="BB208" s="61">
        <f t="shared" si="318"/>
        <v>400.79999999999995</v>
      </c>
      <c r="BD208" s="153">
        <v>30</v>
      </c>
      <c r="BE208" s="153">
        <v>78</v>
      </c>
      <c r="BF208" s="88">
        <v>0</v>
      </c>
      <c r="BG208" s="88">
        <v>0</v>
      </c>
      <c r="BH208" s="88">
        <v>0</v>
      </c>
      <c r="BI208" s="88">
        <v>0</v>
      </c>
      <c r="BJ208" s="88">
        <v>0</v>
      </c>
      <c r="BK208" s="88">
        <v>0</v>
      </c>
      <c r="BL208" s="88">
        <v>0</v>
      </c>
      <c r="BM208" s="88">
        <v>0</v>
      </c>
      <c r="BN208" s="88">
        <v>0</v>
      </c>
      <c r="BO208" s="88">
        <v>0</v>
      </c>
      <c r="BP208" s="210">
        <v>150</v>
      </c>
      <c r="BQ208" s="208">
        <f t="shared" si="371"/>
        <v>358.79999999999995</v>
      </c>
      <c r="BR208" s="175">
        <f t="shared" si="368"/>
        <v>657.6</v>
      </c>
    </row>
    <row r="209" spans="1:70" ht="25.8" thickBot="1" x14ac:dyDescent="0.65">
      <c r="A209" s="64">
        <v>201</v>
      </c>
      <c r="B209" s="166" t="s">
        <v>254</v>
      </c>
      <c r="C209" s="156" t="s">
        <v>20</v>
      </c>
      <c r="D209" s="167">
        <v>42964</v>
      </c>
      <c r="E209" s="168">
        <v>4</v>
      </c>
      <c r="F209" s="160">
        <f t="shared" si="363"/>
        <v>2133.3200000000002</v>
      </c>
      <c r="G209" s="160">
        <f t="shared" si="357"/>
        <v>1296</v>
      </c>
      <c r="H209" s="161">
        <f t="shared" si="364"/>
        <v>3429.32</v>
      </c>
      <c r="I209" s="162">
        <v>11</v>
      </c>
      <c r="J209" s="88">
        <v>11</v>
      </c>
      <c r="K209" s="212" t="s">
        <v>315</v>
      </c>
      <c r="L209" s="169">
        <v>46597</v>
      </c>
      <c r="M209" s="164"/>
      <c r="N209" s="165" t="str">
        <f t="shared" ca="1" si="370"/>
        <v>O.K.</v>
      </c>
      <c r="W209" s="1" t="s">
        <v>254</v>
      </c>
      <c r="X209" s="50">
        <v>0</v>
      </c>
      <c r="Y209" s="49">
        <v>0</v>
      </c>
      <c r="Z209" s="49">
        <v>0</v>
      </c>
      <c r="AA209" s="49">
        <v>96</v>
      </c>
      <c r="AB209" s="49">
        <v>150</v>
      </c>
      <c r="AC209" s="31">
        <v>264</v>
      </c>
      <c r="AD209" s="28">
        <f t="shared" si="365"/>
        <v>114</v>
      </c>
      <c r="AE209" s="52">
        <f>78+54</f>
        <v>132</v>
      </c>
      <c r="AF209" s="52">
        <f>+(0)+(132)+(0)+(0)+(0)+(162)</f>
        <v>294</v>
      </c>
      <c r="AG209" s="49">
        <v>150</v>
      </c>
      <c r="AH209" s="22">
        <f t="shared" si="315"/>
        <v>390</v>
      </c>
      <c r="AI209" s="52">
        <f>+(0)+(0)+(186)+(0)+(0)+(0)</f>
        <v>186</v>
      </c>
      <c r="AJ209" s="52">
        <f>+(0)+(0)+(108)+(0)+(0)+(0)</f>
        <v>108</v>
      </c>
      <c r="AK209" s="49">
        <v>150</v>
      </c>
      <c r="AL209" s="31">
        <f t="shared" si="317"/>
        <v>534</v>
      </c>
      <c r="AM209" s="52">
        <f t="shared" si="339"/>
        <v>0</v>
      </c>
      <c r="AN209" s="52">
        <f>+(0)+(0)+(0)+(0)+(0)+(96)</f>
        <v>96</v>
      </c>
      <c r="AO209" s="72">
        <v>150</v>
      </c>
      <c r="AP209" s="74">
        <f t="shared" si="302"/>
        <v>480</v>
      </c>
      <c r="AQ209" s="76">
        <f>+(0)+(30)+(0)+(0)+(54)+(0)</f>
        <v>84</v>
      </c>
      <c r="AR209" s="76">
        <f t="shared" si="340"/>
        <v>0</v>
      </c>
      <c r="AS209" s="74">
        <v>150</v>
      </c>
      <c r="AT209" s="74">
        <f t="shared" si="303"/>
        <v>414</v>
      </c>
      <c r="AU209" s="73">
        <f t="shared" si="257"/>
        <v>0</v>
      </c>
      <c r="AV209" s="73">
        <f t="shared" si="266"/>
        <v>0</v>
      </c>
      <c r="AW209" s="73">
        <v>150</v>
      </c>
      <c r="AX209" s="73">
        <f t="shared" si="375"/>
        <v>264</v>
      </c>
      <c r="AY209" s="109">
        <f t="shared" ref="AY209" si="390">+(0)+(0)+(0)+(0)</f>
        <v>0</v>
      </c>
      <c r="AZ209" s="109">
        <f>+(0)+(127.2)+(0)+(0)+(0)+(78)+(0)+(0)</f>
        <v>205.2</v>
      </c>
      <c r="BA209" s="61">
        <v>150</v>
      </c>
      <c r="BB209" s="61">
        <f t="shared" si="318"/>
        <v>319.2</v>
      </c>
      <c r="BD209" s="153">
        <v>54.6</v>
      </c>
      <c r="BE209" s="88">
        <v>0</v>
      </c>
      <c r="BF209" s="88">
        <v>0</v>
      </c>
      <c r="BG209" s="88">
        <v>0</v>
      </c>
      <c r="BH209" s="88">
        <v>0</v>
      </c>
      <c r="BI209" s="88">
        <v>0</v>
      </c>
      <c r="BJ209" s="88">
        <v>0</v>
      </c>
      <c r="BK209" s="88">
        <v>0</v>
      </c>
      <c r="BL209" s="88">
        <v>0</v>
      </c>
      <c r="BM209" s="88">
        <v>0</v>
      </c>
      <c r="BN209" s="88">
        <v>0</v>
      </c>
      <c r="BO209" s="88">
        <v>0</v>
      </c>
      <c r="BP209" s="210">
        <v>150</v>
      </c>
      <c r="BQ209" s="208">
        <f t="shared" si="371"/>
        <v>223.8</v>
      </c>
      <c r="BR209" s="175">
        <f t="shared" si="368"/>
        <v>1296</v>
      </c>
    </row>
    <row r="210" spans="1:70" ht="25.8" thickBot="1" x14ac:dyDescent="0.65">
      <c r="A210" s="64">
        <v>202</v>
      </c>
      <c r="B210" s="112" t="s">
        <v>412</v>
      </c>
      <c r="C210" s="113" t="s">
        <v>20</v>
      </c>
      <c r="D210" s="114">
        <v>43206</v>
      </c>
      <c r="E210" s="116">
        <v>3</v>
      </c>
      <c r="F210" s="116">
        <f t="shared" si="363"/>
        <v>1599.9900000000002</v>
      </c>
      <c r="G210" s="116">
        <f t="shared" si="357"/>
        <v>1296</v>
      </c>
      <c r="H210" s="117">
        <f t="shared" si="364"/>
        <v>2895.9900000000002</v>
      </c>
      <c r="I210" s="118">
        <v>12</v>
      </c>
      <c r="J210" s="88">
        <v>12</v>
      </c>
      <c r="L210" s="122">
        <v>46128</v>
      </c>
      <c r="M210" s="120"/>
      <c r="N210" s="121" t="str">
        <f t="shared" ca="1" si="370"/>
        <v>O.K.</v>
      </c>
      <c r="W210" s="1" t="s">
        <v>412</v>
      </c>
      <c r="X210" s="49">
        <v>0</v>
      </c>
      <c r="Y210" s="49">
        <v>0</v>
      </c>
      <c r="Z210" s="49">
        <v>0</v>
      </c>
      <c r="AA210" s="49">
        <v>96</v>
      </c>
      <c r="AB210" s="49">
        <v>150</v>
      </c>
      <c r="AC210" s="31">
        <v>396.6</v>
      </c>
      <c r="AD210" s="28">
        <f t="shared" si="365"/>
        <v>246.60000000000002</v>
      </c>
      <c r="AE210" s="52">
        <f>78+54+78</f>
        <v>210</v>
      </c>
      <c r="AF210" s="52">
        <f>+(0)+(54)+(120)+(0)+(0)+(162)</f>
        <v>336</v>
      </c>
      <c r="AG210" s="49">
        <v>150</v>
      </c>
      <c r="AH210" s="22">
        <f t="shared" si="315"/>
        <v>642.6</v>
      </c>
      <c r="AI210" s="52">
        <f>+(0)+(0)+(0)+(0)+(108)+(0)</f>
        <v>108</v>
      </c>
      <c r="AJ210" s="52">
        <f>+(234)+(0)+(30)+(0)+(186)+(0)</f>
        <v>450</v>
      </c>
      <c r="AK210" s="49">
        <v>150</v>
      </c>
      <c r="AL210" s="31">
        <f t="shared" si="317"/>
        <v>1050.5999999999999</v>
      </c>
      <c r="AM210" s="52">
        <f>+(0)+(0)+(108)+(0)+(0)+(96)</f>
        <v>204</v>
      </c>
      <c r="AN210" s="52">
        <f>+(0)+(78)+(0)+(0)+(30)+(96)</f>
        <v>204</v>
      </c>
      <c r="AO210" s="72">
        <v>150</v>
      </c>
      <c r="AP210" s="74">
        <f t="shared" si="302"/>
        <v>1308.5999999999999</v>
      </c>
      <c r="AQ210" s="76">
        <f>+(0)+(0)+(0)+(0)+(54)+(0)</f>
        <v>54</v>
      </c>
      <c r="AR210" s="76">
        <f>+(0)+(157.8)+(0)+(0)+(0)+(0)</f>
        <v>157.80000000000001</v>
      </c>
      <c r="AS210" s="74">
        <v>150</v>
      </c>
      <c r="AT210" s="74">
        <f t="shared" si="303"/>
        <v>1370.3999999999999</v>
      </c>
      <c r="AU210" s="73">
        <f>+(0)+(0)+(108)+(174)</f>
        <v>282</v>
      </c>
      <c r="AV210" s="73">
        <f>+(0)+(0)+(96)+(0)+(0)+(0)+(0)+(0)</f>
        <v>96</v>
      </c>
      <c r="AW210" s="73">
        <v>150</v>
      </c>
      <c r="AX210" s="73">
        <f t="shared" si="375"/>
        <v>1598.3999999999999</v>
      </c>
      <c r="AY210" s="109">
        <f>+(78)+(0)+(0)+(174)</f>
        <v>252</v>
      </c>
      <c r="AZ210" s="109">
        <f>+(30)+(174)+(0)+(0)+(108)+(0)+(30)+(0)</f>
        <v>342</v>
      </c>
      <c r="BA210" s="61">
        <v>150</v>
      </c>
      <c r="BB210" s="61">
        <f t="shared" si="318"/>
        <v>2042.3999999999996</v>
      </c>
      <c r="BD210" s="88">
        <v>0</v>
      </c>
      <c r="BE210" s="88">
        <v>0</v>
      </c>
      <c r="BF210" s="88">
        <v>0</v>
      </c>
      <c r="BG210" s="88">
        <v>0</v>
      </c>
      <c r="BH210" s="88">
        <v>0</v>
      </c>
      <c r="BI210" s="88">
        <v>0</v>
      </c>
      <c r="BJ210" s="88">
        <v>0</v>
      </c>
      <c r="BK210" s="88">
        <v>0</v>
      </c>
      <c r="BL210" s="88">
        <v>0</v>
      </c>
      <c r="BM210" s="88">
        <v>0</v>
      </c>
      <c r="BN210" s="88">
        <v>0</v>
      </c>
      <c r="BO210" s="88">
        <v>0</v>
      </c>
      <c r="BP210" s="211">
        <v>150</v>
      </c>
      <c r="BQ210" s="208">
        <f t="shared" si="371"/>
        <v>1892.3999999999996</v>
      </c>
      <c r="BR210" s="175">
        <f t="shared" si="368"/>
        <v>1296</v>
      </c>
    </row>
    <row r="214" spans="1:70" ht="15" x14ac:dyDescent="0.35">
      <c r="K214" s="134" t="s">
        <v>307</v>
      </c>
    </row>
    <row r="216" spans="1:70" ht="21" x14ac:dyDescent="0.4">
      <c r="B216" s="21" t="s">
        <v>235</v>
      </c>
      <c r="K216" s="212" t="s">
        <v>315</v>
      </c>
    </row>
    <row r="217" spans="1:70" ht="15" thickBot="1" x14ac:dyDescent="0.35"/>
    <row r="218" spans="1:70" ht="22.2" thickBot="1" x14ac:dyDescent="0.5">
      <c r="B218" s="1" t="s">
        <v>33</v>
      </c>
      <c r="C218" s="2" t="s">
        <v>20</v>
      </c>
      <c r="D218" s="10" t="s">
        <v>116</v>
      </c>
      <c r="E218" s="3">
        <v>4</v>
      </c>
      <c r="F218" s="4">
        <f t="shared" ref="F218:F228" si="391">+E218*$C$1</f>
        <v>2133.3200000000002</v>
      </c>
      <c r="G218" s="4">
        <f t="shared" ref="G218:G241" si="392">+BR218</f>
        <v>0</v>
      </c>
      <c r="H218" s="5">
        <f t="shared" ref="H218:H228" si="393">+F218+G218</f>
        <v>2133.3200000000002</v>
      </c>
      <c r="I218" s="6">
        <v>12</v>
      </c>
      <c r="J218" s="86"/>
      <c r="K218" s="7"/>
      <c r="L218" s="11">
        <v>43026</v>
      </c>
      <c r="M218" s="7"/>
      <c r="N218" s="9" t="s">
        <v>309</v>
      </c>
      <c r="W218" s="10" t="s">
        <v>33</v>
      </c>
      <c r="X218" s="50">
        <v>300</v>
      </c>
      <c r="Y218" s="48">
        <v>96</v>
      </c>
      <c r="Z218" s="49">
        <v>96</v>
      </c>
      <c r="AA218" s="49"/>
      <c r="AB218" s="49"/>
      <c r="AC218" s="22"/>
      <c r="AD218" s="22"/>
      <c r="AE218" s="22"/>
      <c r="AF218" s="22"/>
      <c r="AG218" s="22"/>
      <c r="AH218" s="22"/>
      <c r="AI218" s="22"/>
      <c r="AJ218" s="22"/>
      <c r="AK218" s="22"/>
      <c r="AL218" s="22"/>
      <c r="AM218" s="22"/>
      <c r="AN218" s="22"/>
      <c r="AO218" s="22"/>
      <c r="AP218" s="22"/>
      <c r="AQ218" s="22"/>
      <c r="AR218" s="22"/>
      <c r="AS218" s="22"/>
      <c r="AT218" s="22"/>
      <c r="AU218" s="22"/>
      <c r="AV218" s="22"/>
      <c r="AW218" s="109"/>
      <c r="AX218" s="22"/>
      <c r="AY218" s="140"/>
      <c r="AZ218" s="140"/>
      <c r="BA218" s="140"/>
      <c r="BB218" s="140"/>
      <c r="BC218" s="140"/>
      <c r="BD218" s="140"/>
      <c r="BE218" s="140"/>
      <c r="BF218" s="140"/>
      <c r="BG218" s="140"/>
      <c r="BH218" s="140"/>
      <c r="BI218" s="140"/>
      <c r="BJ218" s="140"/>
      <c r="BK218" s="140"/>
      <c r="BL218" s="140"/>
      <c r="BM218" s="140"/>
      <c r="BN218" s="140"/>
      <c r="BO218" s="140"/>
      <c r="BP218" s="140"/>
      <c r="BQ218" s="140"/>
      <c r="BR218" s="26"/>
    </row>
    <row r="219" spans="1:70" ht="22.2" thickBot="1" x14ac:dyDescent="0.5">
      <c r="B219" s="1" t="s">
        <v>174</v>
      </c>
      <c r="C219" s="2" t="s">
        <v>20</v>
      </c>
      <c r="D219" s="13">
        <v>42562</v>
      </c>
      <c r="E219" s="3">
        <v>0</v>
      </c>
      <c r="F219" s="4">
        <f t="shared" si="391"/>
        <v>0</v>
      </c>
      <c r="G219" s="4">
        <f t="shared" si="392"/>
        <v>0</v>
      </c>
      <c r="H219" s="5">
        <f t="shared" si="393"/>
        <v>0</v>
      </c>
      <c r="I219" s="6">
        <v>15</v>
      </c>
      <c r="J219" s="86"/>
      <c r="K219" s="7"/>
      <c r="L219" s="20">
        <v>43292</v>
      </c>
      <c r="M219" s="7"/>
      <c r="N219" s="9" t="s">
        <v>309</v>
      </c>
      <c r="W219" s="1" t="s">
        <v>174</v>
      </c>
      <c r="X219" s="50">
        <v>0</v>
      </c>
      <c r="Y219" s="48">
        <v>96</v>
      </c>
      <c r="Z219" s="49">
        <v>108</v>
      </c>
      <c r="AA219" s="49"/>
      <c r="AB219" s="49"/>
      <c r="AC219" s="22"/>
      <c r="AD219" s="22"/>
      <c r="AE219" s="22"/>
      <c r="AF219" s="22"/>
      <c r="AG219" s="22"/>
      <c r="AH219" s="22"/>
      <c r="AI219" s="22"/>
      <c r="AJ219" s="22"/>
      <c r="AK219" s="22"/>
      <c r="AL219" s="22"/>
      <c r="AM219" s="22"/>
      <c r="AN219" s="22"/>
      <c r="AO219" s="22"/>
      <c r="AP219" s="22"/>
      <c r="AQ219" s="22"/>
      <c r="AR219" s="22"/>
      <c r="AS219" s="22"/>
      <c r="AT219" s="22"/>
      <c r="AU219" s="22"/>
      <c r="AV219" s="22"/>
      <c r="AW219" s="109"/>
      <c r="AX219" s="22"/>
      <c r="AY219" s="140"/>
      <c r="AZ219" s="140"/>
      <c r="BA219" s="140"/>
      <c r="BB219" s="140"/>
      <c r="BC219" s="140"/>
      <c r="BD219" s="140"/>
      <c r="BE219" s="140"/>
      <c r="BF219" s="140"/>
      <c r="BG219" s="140"/>
      <c r="BH219" s="140"/>
      <c r="BI219" s="140"/>
      <c r="BJ219" s="140"/>
      <c r="BK219" s="140"/>
      <c r="BL219" s="140"/>
      <c r="BM219" s="140"/>
      <c r="BN219" s="140"/>
      <c r="BO219" s="140"/>
      <c r="BP219" s="140"/>
      <c r="BQ219" s="140"/>
      <c r="BR219" s="26"/>
    </row>
    <row r="220" spans="1:70" ht="22.2" thickBot="1" x14ac:dyDescent="0.5">
      <c r="B220" s="1" t="s">
        <v>49</v>
      </c>
      <c r="C220" s="2" t="s">
        <v>20</v>
      </c>
      <c r="D220" s="1" t="s">
        <v>9</v>
      </c>
      <c r="E220" s="3">
        <v>5</v>
      </c>
      <c r="F220" s="4">
        <f t="shared" si="391"/>
        <v>2666.65</v>
      </c>
      <c r="G220" s="4">
        <f t="shared" si="392"/>
        <v>0</v>
      </c>
      <c r="H220" s="5">
        <f t="shared" si="393"/>
        <v>2666.65</v>
      </c>
      <c r="I220" s="6">
        <v>10</v>
      </c>
      <c r="J220" s="86"/>
      <c r="K220" s="7"/>
      <c r="L220" s="8">
        <v>43009</v>
      </c>
      <c r="M220" s="7"/>
      <c r="N220" s="9" t="s">
        <v>309</v>
      </c>
      <c r="W220" s="1" t="s">
        <v>49</v>
      </c>
      <c r="X220" s="50">
        <v>1350</v>
      </c>
      <c r="Y220" s="48">
        <v>96</v>
      </c>
      <c r="Z220" s="49">
        <v>96</v>
      </c>
      <c r="AA220" s="49"/>
      <c r="AB220" s="49"/>
      <c r="AC220" s="22"/>
      <c r="AD220" s="22"/>
      <c r="AE220" s="22"/>
      <c r="AF220" s="22"/>
      <c r="AG220" s="22"/>
      <c r="AH220" s="22"/>
      <c r="AI220" s="22"/>
      <c r="AJ220" s="22"/>
      <c r="AK220" s="22"/>
      <c r="AL220" s="22"/>
      <c r="AM220" s="22"/>
      <c r="AN220" s="22"/>
      <c r="AO220" s="22"/>
      <c r="AP220" s="22"/>
      <c r="AQ220" s="22"/>
      <c r="AR220" s="22"/>
      <c r="AS220" s="22"/>
      <c r="AT220" s="22"/>
      <c r="AU220" s="22"/>
      <c r="AV220" s="22"/>
      <c r="AW220" s="109"/>
      <c r="AX220" s="22"/>
      <c r="AY220" s="140"/>
      <c r="AZ220" s="140"/>
      <c r="BA220" s="140"/>
      <c r="BB220" s="140"/>
      <c r="BC220" s="140"/>
      <c r="BD220" s="140"/>
      <c r="BE220" s="140"/>
      <c r="BF220" s="140"/>
      <c r="BG220" s="140"/>
      <c r="BH220" s="140"/>
      <c r="BI220" s="140"/>
      <c r="BJ220" s="140"/>
      <c r="BK220" s="140"/>
      <c r="BL220" s="140"/>
      <c r="BM220" s="140"/>
      <c r="BN220" s="140"/>
      <c r="BO220" s="140"/>
      <c r="BP220" s="140"/>
      <c r="BQ220" s="140"/>
      <c r="BR220" s="26"/>
    </row>
    <row r="221" spans="1:70" ht="22.2" thickBot="1" x14ac:dyDescent="0.5">
      <c r="B221" s="1" t="s">
        <v>53</v>
      </c>
      <c r="C221" s="2" t="s">
        <v>21</v>
      </c>
      <c r="D221" s="10" t="s">
        <v>132</v>
      </c>
      <c r="E221" s="3">
        <v>0</v>
      </c>
      <c r="F221" s="4">
        <f t="shared" si="391"/>
        <v>0</v>
      </c>
      <c r="G221" s="4">
        <f t="shared" si="392"/>
        <v>0</v>
      </c>
      <c r="H221" s="5">
        <f t="shared" si="393"/>
        <v>0</v>
      </c>
      <c r="I221" s="6">
        <v>15</v>
      </c>
      <c r="J221" s="86"/>
      <c r="K221" s="7"/>
      <c r="L221" s="14"/>
      <c r="M221" s="7"/>
      <c r="N221" s="9" t="s">
        <v>309</v>
      </c>
      <c r="W221" s="10" t="s">
        <v>53</v>
      </c>
      <c r="X221" s="50">
        <v>150</v>
      </c>
      <c r="Y221" s="48">
        <v>0</v>
      </c>
      <c r="Z221" s="49">
        <v>0</v>
      </c>
      <c r="AA221" s="49"/>
      <c r="AB221" s="49"/>
      <c r="AC221" s="22"/>
      <c r="AD221" s="22"/>
      <c r="AE221" s="22"/>
      <c r="AF221" s="22"/>
      <c r="AG221" s="22"/>
      <c r="AH221" s="22"/>
      <c r="AI221" s="22"/>
      <c r="AJ221" s="22"/>
      <c r="AK221" s="22"/>
      <c r="AL221" s="22"/>
      <c r="AM221" s="22"/>
      <c r="AN221" s="22"/>
      <c r="AO221" s="22"/>
      <c r="AP221" s="22"/>
      <c r="AQ221" s="22"/>
      <c r="AR221" s="22"/>
      <c r="AS221" s="22"/>
      <c r="AT221" s="22"/>
      <c r="AU221" s="22"/>
      <c r="AV221" s="22"/>
      <c r="AW221" s="109"/>
      <c r="AX221" s="22"/>
      <c r="AY221" s="140"/>
      <c r="AZ221" s="140"/>
      <c r="BA221" s="140"/>
      <c r="BB221" s="140"/>
      <c r="BC221" s="140"/>
      <c r="BD221" s="140"/>
      <c r="BE221" s="140"/>
      <c r="BF221" s="140"/>
      <c r="BG221" s="140"/>
      <c r="BH221" s="140"/>
      <c r="BI221" s="140"/>
      <c r="BJ221" s="140"/>
      <c r="BK221" s="140"/>
      <c r="BL221" s="140"/>
      <c r="BM221" s="140"/>
      <c r="BN221" s="140"/>
      <c r="BO221" s="140"/>
      <c r="BP221" s="140"/>
      <c r="BQ221" s="140"/>
      <c r="BR221" s="26"/>
    </row>
    <row r="222" spans="1:70" ht="22.2" thickBot="1" x14ac:dyDescent="0.5">
      <c r="B222" s="1" t="s">
        <v>57</v>
      </c>
      <c r="C222" s="2" t="s">
        <v>19</v>
      </c>
      <c r="D222" s="10" t="s">
        <v>134</v>
      </c>
      <c r="E222" s="3">
        <v>0</v>
      </c>
      <c r="F222" s="4">
        <f t="shared" si="391"/>
        <v>0</v>
      </c>
      <c r="G222" s="4">
        <f t="shared" si="392"/>
        <v>0</v>
      </c>
      <c r="H222" s="5">
        <f t="shared" si="393"/>
        <v>0</v>
      </c>
      <c r="I222" s="6">
        <v>15</v>
      </c>
      <c r="J222" s="86"/>
      <c r="K222" s="7"/>
      <c r="L222" s="11">
        <v>43191</v>
      </c>
      <c r="M222" s="7"/>
      <c r="N222" s="9" t="s">
        <v>309</v>
      </c>
      <c r="W222" s="10" t="s">
        <v>57</v>
      </c>
      <c r="X222" s="50">
        <v>0</v>
      </c>
      <c r="Y222" s="48">
        <v>0</v>
      </c>
      <c r="Z222" s="49">
        <v>0</v>
      </c>
      <c r="AA222" s="49"/>
      <c r="AB222" s="49"/>
      <c r="AC222" s="22"/>
      <c r="AD222" s="22"/>
      <c r="AE222" s="22"/>
      <c r="AF222" s="22"/>
      <c r="AG222" s="22"/>
      <c r="AH222" s="22"/>
      <c r="AI222" s="22"/>
      <c r="AJ222" s="22"/>
      <c r="AK222" s="22"/>
      <c r="AL222" s="22"/>
      <c r="AM222" s="22"/>
      <c r="AN222" s="22"/>
      <c r="AO222" s="22"/>
      <c r="AP222" s="22"/>
      <c r="AQ222" s="22"/>
      <c r="AR222" s="22"/>
      <c r="AS222" s="22"/>
      <c r="AT222" s="22"/>
      <c r="AU222" s="22"/>
      <c r="AV222" s="22"/>
      <c r="AW222" s="109"/>
      <c r="AX222" s="22"/>
      <c r="AY222" s="140"/>
      <c r="AZ222" s="140"/>
      <c r="BA222" s="140"/>
      <c r="BB222" s="140"/>
      <c r="BC222" s="140"/>
      <c r="BD222" s="140"/>
      <c r="BE222" s="140"/>
      <c r="BF222" s="140"/>
      <c r="BG222" s="140"/>
      <c r="BH222" s="140"/>
      <c r="BI222" s="140"/>
      <c r="BJ222" s="140"/>
      <c r="BK222" s="140"/>
      <c r="BL222" s="140"/>
      <c r="BM222" s="140"/>
      <c r="BN222" s="140"/>
      <c r="BO222" s="140"/>
      <c r="BP222" s="140"/>
      <c r="BQ222" s="140"/>
      <c r="BR222" s="26"/>
    </row>
    <row r="223" spans="1:70" ht="22.2" thickBot="1" x14ac:dyDescent="0.5">
      <c r="B223" s="1" t="s">
        <v>59</v>
      </c>
      <c r="C223" s="2" t="s">
        <v>19</v>
      </c>
      <c r="D223" s="1" t="s">
        <v>124</v>
      </c>
      <c r="E223" s="3">
        <v>2</v>
      </c>
      <c r="F223" s="4">
        <f t="shared" si="391"/>
        <v>1066.6600000000001</v>
      </c>
      <c r="G223" s="4">
        <f t="shared" si="392"/>
        <v>0</v>
      </c>
      <c r="H223" s="5">
        <f t="shared" si="393"/>
        <v>1066.6600000000001</v>
      </c>
      <c r="I223" s="6">
        <v>13</v>
      </c>
      <c r="J223" s="86"/>
      <c r="K223" s="7"/>
      <c r="L223" s="11">
        <v>42801</v>
      </c>
      <c r="M223" s="7"/>
      <c r="N223" s="9" t="s">
        <v>309</v>
      </c>
      <c r="W223" s="1" t="s">
        <v>59</v>
      </c>
      <c r="X223" s="50">
        <v>600</v>
      </c>
      <c r="Y223" s="48">
        <v>96</v>
      </c>
      <c r="Z223" s="49">
        <v>0</v>
      </c>
      <c r="AA223" s="49"/>
      <c r="AB223" s="49"/>
      <c r="AC223" s="22"/>
      <c r="AD223" s="22"/>
      <c r="AE223" s="22"/>
      <c r="AF223" s="22"/>
      <c r="AG223" s="22"/>
      <c r="AH223" s="22"/>
      <c r="AI223" s="22"/>
      <c r="AJ223" s="22"/>
      <c r="AK223" s="22"/>
      <c r="AL223" s="22"/>
      <c r="AM223" s="22"/>
      <c r="AN223" s="22"/>
      <c r="AO223" s="22"/>
      <c r="AP223" s="22"/>
      <c r="AQ223" s="22"/>
      <c r="AR223" s="22"/>
      <c r="AS223" s="22"/>
      <c r="AT223" s="22"/>
      <c r="AU223" s="22"/>
      <c r="AV223" s="22"/>
      <c r="AW223" s="109"/>
      <c r="AX223" s="22"/>
      <c r="AY223" s="140"/>
      <c r="AZ223" s="140"/>
      <c r="BA223" s="140"/>
      <c r="BB223" s="140"/>
      <c r="BC223" s="140"/>
      <c r="BD223" s="140"/>
      <c r="BE223" s="140"/>
      <c r="BF223" s="140"/>
      <c r="BG223" s="140"/>
      <c r="BH223" s="140"/>
      <c r="BI223" s="140"/>
      <c r="BJ223" s="140"/>
      <c r="BK223" s="140"/>
      <c r="BL223" s="140"/>
      <c r="BM223" s="140"/>
      <c r="BN223" s="140"/>
      <c r="BO223" s="140"/>
      <c r="BP223" s="140"/>
      <c r="BQ223" s="140"/>
      <c r="BR223" s="26"/>
    </row>
    <row r="224" spans="1:70" ht="22.2" thickBot="1" x14ac:dyDescent="0.5">
      <c r="B224" s="1" t="s">
        <v>63</v>
      </c>
      <c r="C224" s="2" t="s">
        <v>21</v>
      </c>
      <c r="D224" s="10" t="s">
        <v>140</v>
      </c>
      <c r="E224" s="3">
        <v>0</v>
      </c>
      <c r="F224" s="4">
        <f t="shared" si="391"/>
        <v>0</v>
      </c>
      <c r="G224" s="4">
        <f t="shared" si="392"/>
        <v>0</v>
      </c>
      <c r="H224" s="5">
        <f t="shared" si="393"/>
        <v>0</v>
      </c>
      <c r="I224" s="6">
        <v>15</v>
      </c>
      <c r="J224" s="86"/>
      <c r="K224" s="7"/>
      <c r="L224" s="11">
        <v>43040</v>
      </c>
      <c r="M224" s="7"/>
      <c r="N224" s="9" t="s">
        <v>309</v>
      </c>
      <c r="W224" s="10" t="s">
        <v>63</v>
      </c>
      <c r="X224" s="50">
        <v>0</v>
      </c>
      <c r="Y224" s="48">
        <v>0</v>
      </c>
      <c r="Z224" s="49">
        <v>0</v>
      </c>
      <c r="AA224" s="49"/>
      <c r="AB224" s="49"/>
      <c r="AC224" s="22"/>
      <c r="AD224" s="22"/>
      <c r="AE224" s="22"/>
      <c r="AF224" s="22"/>
      <c r="AG224" s="22"/>
      <c r="AH224" s="22"/>
      <c r="AI224" s="22"/>
      <c r="AJ224" s="22"/>
      <c r="AK224" s="22"/>
      <c r="AL224" s="22"/>
      <c r="AM224" s="22"/>
      <c r="AN224" s="22"/>
      <c r="AO224" s="22"/>
      <c r="AP224" s="22"/>
      <c r="AQ224" s="22"/>
      <c r="AR224" s="22"/>
      <c r="AS224" s="22"/>
      <c r="AT224" s="22"/>
      <c r="AU224" s="22"/>
      <c r="AV224" s="22"/>
      <c r="AW224" s="109"/>
      <c r="AX224" s="22"/>
      <c r="AY224" s="140"/>
      <c r="AZ224" s="140"/>
      <c r="BA224" s="140"/>
      <c r="BB224" s="140"/>
      <c r="BC224" s="140"/>
      <c r="BD224" s="140"/>
      <c r="BE224" s="140"/>
      <c r="BF224" s="140"/>
      <c r="BG224" s="140"/>
      <c r="BH224" s="140"/>
      <c r="BI224" s="140"/>
      <c r="BJ224" s="140"/>
      <c r="BK224" s="140"/>
      <c r="BL224" s="140"/>
      <c r="BM224" s="140"/>
      <c r="BN224" s="140"/>
      <c r="BO224" s="140"/>
      <c r="BP224" s="140"/>
      <c r="BQ224" s="140"/>
      <c r="BR224" s="26"/>
    </row>
    <row r="225" spans="2:70" ht="22.2" thickBot="1" x14ac:dyDescent="0.5">
      <c r="B225" s="1" t="s">
        <v>76</v>
      </c>
      <c r="C225" s="2" t="s">
        <v>21</v>
      </c>
      <c r="D225" s="1" t="s">
        <v>150</v>
      </c>
      <c r="E225" s="3">
        <v>7</v>
      </c>
      <c r="F225" s="4">
        <f t="shared" si="391"/>
        <v>3733.3100000000004</v>
      </c>
      <c r="G225" s="4">
        <f t="shared" si="392"/>
        <v>0</v>
      </c>
      <c r="H225" s="5">
        <f t="shared" si="393"/>
        <v>3733.3100000000004</v>
      </c>
      <c r="I225" s="6">
        <v>9</v>
      </c>
      <c r="J225" s="86"/>
      <c r="K225" s="7"/>
      <c r="L225" s="8">
        <v>42495</v>
      </c>
      <c r="M225" s="7"/>
      <c r="N225" s="9" t="s">
        <v>309</v>
      </c>
      <c r="W225" s="1" t="s">
        <v>76</v>
      </c>
      <c r="X225" s="50">
        <v>1829</v>
      </c>
      <c r="Y225" s="48">
        <v>0</v>
      </c>
      <c r="Z225" s="49">
        <v>0</v>
      </c>
      <c r="AA225" s="49"/>
      <c r="AB225" s="49"/>
      <c r="AC225" s="22"/>
      <c r="AD225" s="22"/>
      <c r="AE225" s="22"/>
      <c r="AF225" s="22"/>
      <c r="AG225" s="22"/>
      <c r="AH225" s="22"/>
      <c r="AI225" s="22"/>
      <c r="AJ225" s="22"/>
      <c r="AK225" s="22"/>
      <c r="AL225" s="22"/>
      <c r="AM225" s="22"/>
      <c r="AN225" s="22"/>
      <c r="AO225" s="22"/>
      <c r="AP225" s="22"/>
      <c r="AQ225" s="22"/>
      <c r="AR225" s="22"/>
      <c r="AS225" s="22"/>
      <c r="AT225" s="22"/>
      <c r="AU225" s="22"/>
      <c r="AV225" s="22"/>
      <c r="AW225" s="109"/>
      <c r="AX225" s="22"/>
      <c r="AY225" s="140"/>
      <c r="AZ225" s="140"/>
      <c r="BA225" s="140"/>
      <c r="BB225" s="140"/>
      <c r="BC225" s="140"/>
      <c r="BD225" s="140"/>
      <c r="BE225" s="140"/>
      <c r="BF225" s="140"/>
      <c r="BG225" s="140"/>
      <c r="BH225" s="140"/>
      <c r="BI225" s="140"/>
      <c r="BJ225" s="140"/>
      <c r="BK225" s="140"/>
      <c r="BL225" s="140"/>
      <c r="BM225" s="140"/>
      <c r="BN225" s="140"/>
      <c r="BO225" s="140"/>
      <c r="BP225" s="140"/>
      <c r="BQ225" s="140"/>
      <c r="BR225" s="26"/>
    </row>
    <row r="226" spans="2:70" ht="22.2" thickBot="1" x14ac:dyDescent="0.5">
      <c r="B226" s="1" t="s">
        <v>80</v>
      </c>
      <c r="C226" s="2" t="s">
        <v>24</v>
      </c>
      <c r="D226" s="10" t="s">
        <v>153</v>
      </c>
      <c r="E226" s="3">
        <v>15</v>
      </c>
      <c r="F226" s="4">
        <f t="shared" si="391"/>
        <v>7999.9500000000007</v>
      </c>
      <c r="G226" s="4">
        <f t="shared" si="392"/>
        <v>0</v>
      </c>
      <c r="H226" s="5">
        <f t="shared" si="393"/>
        <v>7999.9500000000007</v>
      </c>
      <c r="I226" s="6">
        <v>1</v>
      </c>
      <c r="J226" s="86"/>
      <c r="K226" s="7"/>
      <c r="L226" s="15"/>
      <c r="M226" s="7"/>
      <c r="N226" s="9" t="s">
        <v>309</v>
      </c>
      <c r="W226" s="1" t="s">
        <v>80</v>
      </c>
      <c r="X226" s="50">
        <v>2958</v>
      </c>
      <c r="Y226" s="48">
        <v>0</v>
      </c>
      <c r="Z226" s="49">
        <v>0</v>
      </c>
      <c r="AA226" s="49"/>
      <c r="AB226" s="49"/>
      <c r="AC226" s="22"/>
      <c r="AD226" s="22"/>
      <c r="AE226" s="22"/>
      <c r="AF226" s="22"/>
      <c r="AG226" s="22"/>
      <c r="AH226" s="22"/>
      <c r="AI226" s="22"/>
      <c r="AJ226" s="22"/>
      <c r="AK226" s="22"/>
      <c r="AL226" s="22"/>
      <c r="AM226" s="22"/>
      <c r="AN226" s="22"/>
      <c r="AO226" s="22"/>
      <c r="AP226" s="22"/>
      <c r="AQ226" s="22"/>
      <c r="AR226" s="22"/>
      <c r="AS226" s="22"/>
      <c r="AT226" s="22"/>
      <c r="AU226" s="22"/>
      <c r="AV226" s="22"/>
      <c r="AW226" s="109"/>
      <c r="AX226" s="22"/>
      <c r="AY226" s="140"/>
      <c r="AZ226" s="140"/>
      <c r="BA226" s="140"/>
      <c r="BB226" s="140"/>
      <c r="BC226" s="140"/>
      <c r="BD226" s="140"/>
      <c r="BE226" s="140"/>
      <c r="BF226" s="140"/>
      <c r="BG226" s="140"/>
      <c r="BH226" s="140"/>
      <c r="BI226" s="140"/>
      <c r="BJ226" s="140"/>
      <c r="BK226" s="140"/>
      <c r="BL226" s="140"/>
      <c r="BM226" s="140"/>
      <c r="BN226" s="140"/>
      <c r="BO226" s="140"/>
      <c r="BP226" s="140"/>
      <c r="BQ226" s="140"/>
      <c r="BR226" s="26"/>
    </row>
    <row r="227" spans="2:70" ht="22.2" thickBot="1" x14ac:dyDescent="0.5">
      <c r="B227" s="1" t="s">
        <v>81</v>
      </c>
      <c r="C227" s="2" t="s">
        <v>19</v>
      </c>
      <c r="D227" s="1" t="s">
        <v>154</v>
      </c>
      <c r="E227" s="3">
        <v>2</v>
      </c>
      <c r="F227" s="4">
        <f t="shared" si="391"/>
        <v>1066.6600000000001</v>
      </c>
      <c r="G227" s="4">
        <f t="shared" si="392"/>
        <v>0</v>
      </c>
      <c r="H227" s="5">
        <f t="shared" si="393"/>
        <v>1066.6600000000001</v>
      </c>
      <c r="I227" s="6">
        <v>13</v>
      </c>
      <c r="J227" s="86"/>
      <c r="K227" s="7"/>
      <c r="L227" s="12">
        <v>42940</v>
      </c>
      <c r="M227" s="7"/>
      <c r="N227" s="9" t="s">
        <v>309</v>
      </c>
      <c r="W227" s="1" t="s">
        <v>81</v>
      </c>
      <c r="X227" s="50">
        <v>720</v>
      </c>
      <c r="Y227" s="48">
        <v>96</v>
      </c>
      <c r="Z227" s="49">
        <v>0</v>
      </c>
      <c r="AA227" s="49"/>
      <c r="AB227" s="49"/>
      <c r="AC227" s="22"/>
      <c r="AD227" s="22"/>
      <c r="AE227" s="22"/>
      <c r="AF227" s="22"/>
      <c r="AG227" s="22"/>
      <c r="AH227" s="22"/>
      <c r="AI227" s="22"/>
      <c r="AJ227" s="22"/>
      <c r="AK227" s="22"/>
      <c r="AL227" s="22"/>
      <c r="AM227" s="22"/>
      <c r="AN227" s="22"/>
      <c r="AO227" s="22"/>
      <c r="AP227" s="22"/>
      <c r="AQ227" s="22"/>
      <c r="AR227" s="22"/>
      <c r="AS227" s="22"/>
      <c r="AT227" s="22"/>
      <c r="AU227" s="22"/>
      <c r="AV227" s="22"/>
      <c r="AW227" s="109"/>
      <c r="AX227" s="22"/>
      <c r="AY227" s="140"/>
      <c r="AZ227" s="140"/>
      <c r="BA227" s="140"/>
      <c r="BB227" s="140"/>
      <c r="BC227" s="140"/>
      <c r="BD227" s="140"/>
      <c r="BE227" s="140"/>
      <c r="BF227" s="140"/>
      <c r="BG227" s="140"/>
      <c r="BH227" s="140"/>
      <c r="BI227" s="140"/>
      <c r="BJ227" s="140"/>
      <c r="BK227" s="140"/>
      <c r="BL227" s="140"/>
      <c r="BM227" s="140"/>
      <c r="BN227" s="140"/>
      <c r="BO227" s="140"/>
      <c r="BP227" s="140"/>
      <c r="BQ227" s="140"/>
      <c r="BR227" s="26"/>
    </row>
    <row r="228" spans="2:70" ht="22.2" thickBot="1" x14ac:dyDescent="0.5">
      <c r="B228" s="1" t="s">
        <v>188</v>
      </c>
      <c r="C228" s="2" t="s">
        <v>20</v>
      </c>
      <c r="D228" s="13">
        <v>42370</v>
      </c>
      <c r="E228" s="3">
        <v>0</v>
      </c>
      <c r="F228" s="4">
        <f t="shared" si="391"/>
        <v>0</v>
      </c>
      <c r="G228" s="4">
        <f t="shared" si="392"/>
        <v>0</v>
      </c>
      <c r="H228" s="5">
        <f t="shared" si="393"/>
        <v>0</v>
      </c>
      <c r="I228" s="6">
        <v>15</v>
      </c>
      <c r="J228" s="86"/>
      <c r="K228" s="7"/>
      <c r="L228" s="12">
        <v>43101</v>
      </c>
      <c r="M228" s="7"/>
      <c r="N228" s="9" t="s">
        <v>309</v>
      </c>
      <c r="W228" s="1" t="s">
        <v>188</v>
      </c>
      <c r="X228" s="50">
        <v>0</v>
      </c>
      <c r="Y228" s="48">
        <v>96</v>
      </c>
      <c r="Z228" s="49">
        <v>0</v>
      </c>
      <c r="AA228" s="49"/>
      <c r="AB228" s="49"/>
      <c r="AC228" s="22"/>
      <c r="AD228" s="22"/>
      <c r="AE228" s="22"/>
      <c r="AF228" s="22"/>
      <c r="AG228" s="22"/>
      <c r="AH228" s="22"/>
      <c r="AI228" s="22"/>
      <c r="AJ228" s="22"/>
      <c r="AK228" s="22"/>
      <c r="AL228" s="22"/>
      <c r="AM228" s="22"/>
      <c r="AN228" s="22"/>
      <c r="AO228" s="22"/>
      <c r="AP228" s="22"/>
      <c r="AQ228" s="22"/>
      <c r="AR228" s="22"/>
      <c r="AS228" s="22"/>
      <c r="AT228" s="22"/>
      <c r="AU228" s="22"/>
      <c r="AV228" s="22"/>
      <c r="AW228" s="109"/>
      <c r="AX228" s="22"/>
      <c r="AY228" s="140"/>
      <c r="AZ228" s="140"/>
      <c r="BA228" s="140"/>
      <c r="BB228" s="140"/>
      <c r="BC228" s="140"/>
      <c r="BD228" s="140"/>
      <c r="BE228" s="140"/>
      <c r="BF228" s="140"/>
      <c r="BG228" s="140"/>
      <c r="BH228" s="140"/>
      <c r="BI228" s="140"/>
      <c r="BJ228" s="140"/>
      <c r="BK228" s="140"/>
      <c r="BL228" s="140"/>
      <c r="BM228" s="140"/>
      <c r="BN228" s="140"/>
      <c r="BO228" s="140"/>
      <c r="BP228" s="140"/>
      <c r="BQ228" s="140"/>
      <c r="BR228" s="26"/>
    </row>
    <row r="229" spans="2:70" ht="22.2" thickBot="1" x14ac:dyDescent="0.5">
      <c r="B229" s="1" t="s">
        <v>192</v>
      </c>
      <c r="C229" s="2" t="s">
        <v>20</v>
      </c>
      <c r="D229" s="18">
        <v>41879</v>
      </c>
      <c r="E229" s="3">
        <v>1</v>
      </c>
      <c r="F229" s="4">
        <f t="shared" ref="F229:F241" si="394">+E229*$C$1</f>
        <v>533.33000000000004</v>
      </c>
      <c r="G229" s="4">
        <f t="shared" si="392"/>
        <v>0</v>
      </c>
      <c r="H229" s="5">
        <f t="shared" ref="H229:H241" si="395">+F229+G229</f>
        <v>533.33000000000004</v>
      </c>
      <c r="I229" s="6">
        <v>15</v>
      </c>
      <c r="J229" s="86"/>
      <c r="K229" s="7"/>
      <c r="L229" s="12">
        <v>43279</v>
      </c>
      <c r="M229" s="7"/>
      <c r="N229" s="9" t="s">
        <v>309</v>
      </c>
      <c r="W229" s="1" t="s">
        <v>192</v>
      </c>
      <c r="X229" s="50">
        <v>150</v>
      </c>
      <c r="Y229" s="48">
        <v>150</v>
      </c>
      <c r="Z229" s="49">
        <v>0</v>
      </c>
      <c r="AA229" s="49"/>
      <c r="AB229" s="49"/>
      <c r="AC229" s="22"/>
      <c r="AD229" s="22"/>
      <c r="AE229" s="22"/>
      <c r="AF229" s="22"/>
      <c r="AG229" s="22"/>
      <c r="AH229" s="22"/>
      <c r="AI229" s="22"/>
      <c r="AJ229" s="22"/>
      <c r="AK229" s="22"/>
      <c r="AL229" s="22"/>
      <c r="AM229" s="22"/>
      <c r="AN229" s="22"/>
      <c r="AO229" s="22"/>
      <c r="AP229" s="22"/>
      <c r="AQ229" s="22"/>
      <c r="AR229" s="22"/>
      <c r="AS229" s="22"/>
      <c r="AT229" s="22"/>
      <c r="AU229" s="22"/>
      <c r="AV229" s="22"/>
      <c r="AW229" s="109"/>
      <c r="AX229" s="22"/>
      <c r="AY229" s="140"/>
      <c r="AZ229" s="140"/>
      <c r="BA229" s="140"/>
      <c r="BB229" s="140"/>
      <c r="BC229" s="140"/>
      <c r="BD229" s="140"/>
      <c r="BE229" s="140"/>
      <c r="BF229" s="140"/>
      <c r="BG229" s="140"/>
      <c r="BH229" s="140"/>
      <c r="BI229" s="140"/>
      <c r="BJ229" s="140"/>
      <c r="BK229" s="140"/>
      <c r="BL229" s="140"/>
      <c r="BM229" s="140"/>
      <c r="BN229" s="140"/>
      <c r="BO229" s="140"/>
      <c r="BP229" s="140"/>
      <c r="BQ229" s="140"/>
      <c r="BR229" s="26"/>
    </row>
    <row r="230" spans="2:70" ht="22.2" thickBot="1" x14ac:dyDescent="0.5">
      <c r="B230" s="1" t="s">
        <v>193</v>
      </c>
      <c r="C230" s="2" t="s">
        <v>19</v>
      </c>
      <c r="D230" s="13">
        <v>42115</v>
      </c>
      <c r="E230" s="3">
        <v>0</v>
      </c>
      <c r="F230" s="4">
        <f t="shared" si="394"/>
        <v>0</v>
      </c>
      <c r="G230" s="4">
        <f t="shared" si="392"/>
        <v>0</v>
      </c>
      <c r="H230" s="5">
        <f t="shared" si="395"/>
        <v>0</v>
      </c>
      <c r="I230" s="6">
        <v>15</v>
      </c>
      <c r="J230" s="86"/>
      <c r="K230" s="7"/>
      <c r="L230" s="8">
        <v>42846</v>
      </c>
      <c r="M230" s="7"/>
      <c r="N230" s="9" t="s">
        <v>309</v>
      </c>
      <c r="W230" s="1" t="s">
        <v>193</v>
      </c>
      <c r="X230" s="50">
        <v>0</v>
      </c>
      <c r="Y230" s="48">
        <v>96</v>
      </c>
      <c r="Z230" s="49">
        <v>0</v>
      </c>
      <c r="AA230" s="49"/>
      <c r="AB230" s="49"/>
      <c r="AC230" s="22"/>
      <c r="AD230" s="22"/>
      <c r="AE230" s="22"/>
      <c r="AF230" s="22"/>
      <c r="AG230" s="22"/>
      <c r="AH230" s="22"/>
      <c r="AI230" s="22"/>
      <c r="AJ230" s="22"/>
      <c r="AK230" s="22"/>
      <c r="AL230" s="22"/>
      <c r="AM230" s="22"/>
      <c r="AN230" s="22"/>
      <c r="AO230" s="22"/>
      <c r="AP230" s="22"/>
      <c r="AQ230" s="22"/>
      <c r="AR230" s="22"/>
      <c r="AS230" s="22"/>
      <c r="AT230" s="22"/>
      <c r="AU230" s="22"/>
      <c r="AV230" s="22"/>
      <c r="AW230" s="109"/>
      <c r="AX230" s="22"/>
      <c r="AY230" s="140"/>
      <c r="AZ230" s="140"/>
      <c r="BA230" s="140"/>
      <c r="BB230" s="140"/>
      <c r="BC230" s="140"/>
      <c r="BD230" s="140"/>
      <c r="BE230" s="140"/>
      <c r="BF230" s="140"/>
      <c r="BG230" s="140"/>
      <c r="BH230" s="140"/>
      <c r="BI230" s="140"/>
      <c r="BJ230" s="140"/>
      <c r="BK230" s="140"/>
      <c r="BL230" s="140"/>
      <c r="BM230" s="140"/>
      <c r="BN230" s="140"/>
      <c r="BO230" s="140"/>
      <c r="BP230" s="140"/>
      <c r="BQ230" s="140"/>
      <c r="BR230" s="26"/>
    </row>
    <row r="231" spans="2:70" ht="22.2" thickBot="1" x14ac:dyDescent="0.5">
      <c r="B231" s="1" t="s">
        <v>88</v>
      </c>
      <c r="C231" s="2" t="s">
        <v>23</v>
      </c>
      <c r="D231" s="1" t="s">
        <v>159</v>
      </c>
      <c r="E231" s="3">
        <v>0</v>
      </c>
      <c r="F231" s="4">
        <f t="shared" si="394"/>
        <v>0</v>
      </c>
      <c r="G231" s="4">
        <f t="shared" si="392"/>
        <v>0</v>
      </c>
      <c r="H231" s="5">
        <f t="shared" si="395"/>
        <v>0</v>
      </c>
      <c r="I231" s="6">
        <v>15</v>
      </c>
      <c r="J231" s="86"/>
      <c r="K231" s="7"/>
      <c r="L231" s="16"/>
      <c r="M231" s="7"/>
      <c r="N231" s="9" t="s">
        <v>309</v>
      </c>
      <c r="W231" s="1" t="s">
        <v>88</v>
      </c>
      <c r="X231" s="50">
        <v>0</v>
      </c>
      <c r="Y231" s="48">
        <v>0</v>
      </c>
      <c r="Z231" s="49">
        <v>0</v>
      </c>
      <c r="AA231" s="49"/>
      <c r="AB231" s="49"/>
      <c r="AC231" s="22"/>
      <c r="AD231" s="22"/>
      <c r="AE231" s="22"/>
      <c r="AF231" s="22"/>
      <c r="AG231" s="22"/>
      <c r="AH231" s="22"/>
      <c r="AI231" s="22"/>
      <c r="AJ231" s="22"/>
      <c r="AK231" s="22"/>
      <c r="AL231" s="22"/>
      <c r="AM231" s="22"/>
      <c r="AN231" s="22"/>
      <c r="AO231" s="22"/>
      <c r="AP231" s="22"/>
      <c r="AQ231" s="22"/>
      <c r="AR231" s="22"/>
      <c r="AS231" s="22"/>
      <c r="AT231" s="22"/>
      <c r="AU231" s="22"/>
      <c r="AV231" s="22"/>
      <c r="AW231" s="109"/>
      <c r="AX231" s="22"/>
      <c r="AY231" s="140"/>
      <c r="AZ231" s="140"/>
      <c r="BA231" s="140"/>
      <c r="BB231" s="140"/>
      <c r="BC231" s="140"/>
      <c r="BD231" s="140"/>
      <c r="BE231" s="140"/>
      <c r="BF231" s="140"/>
      <c r="BG231" s="140"/>
      <c r="BH231" s="140"/>
      <c r="BI231" s="140"/>
      <c r="BJ231" s="140"/>
      <c r="BK231" s="140"/>
      <c r="BL231" s="140"/>
      <c r="BM231" s="140"/>
      <c r="BN231" s="140"/>
      <c r="BO231" s="140"/>
      <c r="BP231" s="140"/>
      <c r="BQ231" s="140"/>
      <c r="BR231" s="26"/>
    </row>
    <row r="232" spans="2:70" ht="22.2" thickBot="1" x14ac:dyDescent="0.5">
      <c r="B232" s="1" t="s">
        <v>195</v>
      </c>
      <c r="C232" s="2" t="s">
        <v>21</v>
      </c>
      <c r="D232" s="13">
        <v>42401</v>
      </c>
      <c r="E232" s="3">
        <v>0</v>
      </c>
      <c r="F232" s="4">
        <f t="shared" si="394"/>
        <v>0</v>
      </c>
      <c r="G232" s="4">
        <f t="shared" si="392"/>
        <v>0</v>
      </c>
      <c r="H232" s="5">
        <f t="shared" si="395"/>
        <v>0</v>
      </c>
      <c r="I232" s="6">
        <v>15</v>
      </c>
      <c r="J232" s="86"/>
      <c r="K232" s="7"/>
      <c r="L232" s="17">
        <v>43132</v>
      </c>
      <c r="M232" s="7"/>
      <c r="N232" s="9" t="s">
        <v>309</v>
      </c>
      <c r="W232" s="1" t="s">
        <v>195</v>
      </c>
      <c r="X232" s="50">
        <v>0</v>
      </c>
      <c r="Y232" s="48">
        <v>0</v>
      </c>
      <c r="Z232" s="49">
        <v>0</v>
      </c>
      <c r="AA232" s="49"/>
      <c r="AB232" s="49"/>
      <c r="AC232" s="22"/>
      <c r="AD232" s="22"/>
      <c r="AE232" s="22"/>
      <c r="AF232" s="22"/>
      <c r="AG232" s="22"/>
      <c r="AH232" s="22"/>
      <c r="AI232" s="22"/>
      <c r="AJ232" s="22"/>
      <c r="AK232" s="22"/>
      <c r="AL232" s="22"/>
      <c r="AM232" s="22"/>
      <c r="AN232" s="22"/>
      <c r="AO232" s="22"/>
      <c r="AP232" s="22"/>
      <c r="AQ232" s="22"/>
      <c r="AR232" s="22"/>
      <c r="AS232" s="22"/>
      <c r="AT232" s="22"/>
      <c r="AU232" s="22"/>
      <c r="AV232" s="22"/>
      <c r="AW232" s="109"/>
      <c r="AX232" s="22"/>
      <c r="AY232" s="140"/>
      <c r="AZ232" s="140"/>
      <c r="BA232" s="140"/>
      <c r="BB232" s="140"/>
      <c r="BC232" s="140"/>
      <c r="BD232" s="140"/>
      <c r="BE232" s="140"/>
      <c r="BF232" s="140"/>
      <c r="BG232" s="140"/>
      <c r="BH232" s="140"/>
      <c r="BI232" s="140"/>
      <c r="BJ232" s="140"/>
      <c r="BK232" s="140"/>
      <c r="BL232" s="140"/>
      <c r="BM232" s="140"/>
      <c r="BN232" s="140"/>
      <c r="BO232" s="140"/>
      <c r="BP232" s="140"/>
      <c r="BQ232" s="140"/>
      <c r="BR232" s="26"/>
    </row>
    <row r="233" spans="2:70" ht="22.2" thickBot="1" x14ac:dyDescent="0.5">
      <c r="B233" s="1" t="s">
        <v>211</v>
      </c>
      <c r="C233" s="2" t="s">
        <v>21</v>
      </c>
      <c r="D233" s="13">
        <v>42668</v>
      </c>
      <c r="E233" s="3">
        <v>0</v>
      </c>
      <c r="F233" s="4">
        <f t="shared" si="394"/>
        <v>0</v>
      </c>
      <c r="G233" s="4">
        <f t="shared" si="392"/>
        <v>0</v>
      </c>
      <c r="H233" s="5">
        <f t="shared" si="395"/>
        <v>0</v>
      </c>
      <c r="I233" s="6">
        <v>15</v>
      </c>
      <c r="J233" s="86"/>
      <c r="K233" s="7"/>
      <c r="L233" s="17">
        <v>43398</v>
      </c>
      <c r="M233" s="7"/>
      <c r="N233" s="9" t="s">
        <v>309</v>
      </c>
      <c r="W233" s="1" t="s">
        <v>211</v>
      </c>
      <c r="X233" s="50">
        <v>0</v>
      </c>
      <c r="Y233" s="48">
        <v>0</v>
      </c>
      <c r="Z233" s="49">
        <v>0</v>
      </c>
      <c r="AA233" s="49"/>
      <c r="AB233" s="49"/>
      <c r="AC233" s="22"/>
      <c r="AD233" s="22"/>
      <c r="AE233" s="22"/>
      <c r="AF233" s="22"/>
      <c r="AG233" s="22"/>
      <c r="AH233" s="22"/>
      <c r="AI233" s="22"/>
      <c r="AJ233" s="22"/>
      <c r="AK233" s="22"/>
      <c r="AL233" s="22"/>
      <c r="AM233" s="22"/>
      <c r="AN233" s="22"/>
      <c r="AO233" s="22"/>
      <c r="AP233" s="22"/>
      <c r="AQ233" s="22"/>
      <c r="AR233" s="22"/>
      <c r="AS233" s="22"/>
      <c r="AT233" s="22"/>
      <c r="AU233" s="22"/>
      <c r="AV233" s="22"/>
      <c r="AW233" s="109"/>
      <c r="AX233" s="22"/>
      <c r="AY233" s="140"/>
      <c r="AZ233" s="140"/>
      <c r="BA233" s="140"/>
      <c r="BB233" s="140"/>
      <c r="BC233" s="140"/>
      <c r="BD233" s="140"/>
      <c r="BE233" s="140"/>
      <c r="BF233" s="140"/>
      <c r="BG233" s="140"/>
      <c r="BH233" s="140"/>
      <c r="BI233" s="140"/>
      <c r="BJ233" s="140"/>
      <c r="BK233" s="140"/>
      <c r="BL233" s="140"/>
      <c r="BM233" s="140"/>
      <c r="BN233" s="140"/>
      <c r="BO233" s="140"/>
      <c r="BP233" s="140"/>
      <c r="BQ233" s="140"/>
      <c r="BR233" s="26"/>
    </row>
    <row r="234" spans="2:70" ht="22.2" thickBot="1" x14ac:dyDescent="0.5">
      <c r="B234" s="1" t="s">
        <v>96</v>
      </c>
      <c r="C234" s="2" t="s">
        <v>21</v>
      </c>
      <c r="D234" s="1" t="s">
        <v>11</v>
      </c>
      <c r="E234" s="3">
        <v>8</v>
      </c>
      <c r="F234" s="4">
        <f t="shared" si="394"/>
        <v>4266.6400000000003</v>
      </c>
      <c r="G234" s="4">
        <f t="shared" si="392"/>
        <v>0</v>
      </c>
      <c r="H234" s="5">
        <f t="shared" si="395"/>
        <v>4266.6400000000003</v>
      </c>
      <c r="I234" s="6">
        <v>9</v>
      </c>
      <c r="J234" s="86"/>
      <c r="K234" s="7"/>
      <c r="L234" s="11">
        <v>43617</v>
      </c>
      <c r="M234" s="7"/>
      <c r="N234" s="9" t="s">
        <v>309</v>
      </c>
      <c r="W234" s="1" t="s">
        <v>96</v>
      </c>
      <c r="X234" s="50">
        <v>931</v>
      </c>
      <c r="Y234" s="48">
        <v>145.4</v>
      </c>
      <c r="Z234" s="49">
        <v>96</v>
      </c>
      <c r="AA234" s="49"/>
      <c r="AB234" s="49"/>
      <c r="AC234" s="22"/>
      <c r="AD234" s="22"/>
      <c r="AE234" s="22"/>
      <c r="AF234" s="22"/>
      <c r="AG234" s="22"/>
      <c r="AH234" s="22"/>
      <c r="AI234" s="22"/>
      <c r="AJ234" s="22"/>
      <c r="AK234" s="22"/>
      <c r="AL234" s="22"/>
      <c r="AM234" s="22"/>
      <c r="AN234" s="22"/>
      <c r="AO234" s="22"/>
      <c r="AP234" s="22"/>
      <c r="AQ234" s="22"/>
      <c r="AR234" s="22"/>
      <c r="AS234" s="22"/>
      <c r="AT234" s="22"/>
      <c r="AU234" s="22"/>
      <c r="AV234" s="22"/>
      <c r="AW234" s="109"/>
      <c r="AX234" s="22"/>
      <c r="AY234" s="140"/>
      <c r="AZ234" s="140"/>
      <c r="BA234" s="140"/>
      <c r="BB234" s="140"/>
      <c r="BC234" s="140"/>
      <c r="BD234" s="140"/>
      <c r="BE234" s="140"/>
      <c r="BF234" s="140"/>
      <c r="BG234" s="140"/>
      <c r="BH234" s="140"/>
      <c r="BI234" s="140"/>
      <c r="BJ234" s="140"/>
      <c r="BK234" s="140"/>
      <c r="BL234" s="140"/>
      <c r="BM234" s="140"/>
      <c r="BN234" s="140"/>
      <c r="BO234" s="140"/>
      <c r="BP234" s="140"/>
      <c r="BQ234" s="140"/>
      <c r="BR234" s="26"/>
    </row>
    <row r="235" spans="2:70" ht="22.2" thickBot="1" x14ac:dyDescent="0.5">
      <c r="B235" s="1" t="s">
        <v>98</v>
      </c>
      <c r="C235" s="2" t="s">
        <v>20</v>
      </c>
      <c r="D235" s="10" t="s">
        <v>26</v>
      </c>
      <c r="E235" s="3">
        <v>1</v>
      </c>
      <c r="F235" s="4">
        <f t="shared" si="394"/>
        <v>533.33000000000004</v>
      </c>
      <c r="G235" s="4">
        <f t="shared" si="392"/>
        <v>0</v>
      </c>
      <c r="H235" s="5">
        <f t="shared" si="395"/>
        <v>533.33000000000004</v>
      </c>
      <c r="I235" s="6">
        <v>14</v>
      </c>
      <c r="J235" s="86"/>
      <c r="K235" s="7"/>
      <c r="L235" s="8">
        <v>42826</v>
      </c>
      <c r="M235" s="7"/>
      <c r="N235" s="9" t="s">
        <v>309</v>
      </c>
      <c r="W235" s="10" t="s">
        <v>98</v>
      </c>
      <c r="X235" s="50">
        <v>300</v>
      </c>
      <c r="Y235" s="48">
        <v>150</v>
      </c>
      <c r="Z235" s="49">
        <v>0</v>
      </c>
      <c r="AA235" s="49"/>
      <c r="AB235" s="49"/>
      <c r="AC235" s="22"/>
      <c r="AD235" s="22"/>
      <c r="AE235" s="22"/>
      <c r="AF235" s="22"/>
      <c r="AG235" s="22"/>
      <c r="AH235" s="22"/>
      <c r="AI235" s="22"/>
      <c r="AJ235" s="22"/>
      <c r="AK235" s="22"/>
      <c r="AL235" s="22"/>
      <c r="AM235" s="22"/>
      <c r="AN235" s="22"/>
      <c r="AO235" s="22"/>
      <c r="AP235" s="22"/>
      <c r="AQ235" s="22"/>
      <c r="AR235" s="22"/>
      <c r="AS235" s="22"/>
      <c r="AT235" s="22"/>
      <c r="AU235" s="22"/>
      <c r="AV235" s="22"/>
      <c r="AW235" s="109"/>
      <c r="AX235" s="22"/>
      <c r="AY235" s="140"/>
      <c r="AZ235" s="140"/>
      <c r="BA235" s="140"/>
      <c r="BB235" s="140"/>
      <c r="BC235" s="140"/>
      <c r="BD235" s="140"/>
      <c r="BE235" s="140"/>
      <c r="BF235" s="140"/>
      <c r="BG235" s="140"/>
      <c r="BH235" s="140"/>
      <c r="BI235" s="140"/>
      <c r="BJ235" s="140"/>
      <c r="BK235" s="140"/>
      <c r="BL235" s="140"/>
      <c r="BM235" s="140"/>
      <c r="BN235" s="140"/>
      <c r="BO235" s="140"/>
      <c r="BP235" s="140"/>
      <c r="BQ235" s="140"/>
      <c r="BR235" s="26"/>
    </row>
    <row r="236" spans="2:70" ht="22.2" thickBot="1" x14ac:dyDescent="0.5">
      <c r="B236" s="1" t="s">
        <v>198</v>
      </c>
      <c r="C236" s="2" t="s">
        <v>20</v>
      </c>
      <c r="D236" s="18">
        <v>42491</v>
      </c>
      <c r="E236" s="3">
        <v>0</v>
      </c>
      <c r="F236" s="4">
        <f t="shared" si="394"/>
        <v>0</v>
      </c>
      <c r="G236" s="4">
        <f t="shared" si="392"/>
        <v>0</v>
      </c>
      <c r="H236" s="5">
        <f t="shared" si="395"/>
        <v>0</v>
      </c>
      <c r="I236" s="6">
        <v>15</v>
      </c>
      <c r="J236" s="86"/>
      <c r="K236" s="7"/>
      <c r="L236" s="8">
        <v>43221</v>
      </c>
      <c r="M236" s="7"/>
      <c r="N236" s="9" t="s">
        <v>309</v>
      </c>
      <c r="W236" s="1" t="s">
        <v>198</v>
      </c>
      <c r="X236" s="50">
        <v>0</v>
      </c>
      <c r="Y236" s="48">
        <v>0</v>
      </c>
      <c r="Z236" s="49">
        <v>0</v>
      </c>
      <c r="AA236" s="49"/>
      <c r="AB236" s="49"/>
      <c r="AC236" s="22"/>
      <c r="AD236" s="22"/>
      <c r="AE236" s="22"/>
      <c r="AF236" s="22"/>
      <c r="AG236" s="22"/>
      <c r="AH236" s="22"/>
      <c r="AI236" s="22"/>
      <c r="AJ236" s="22"/>
      <c r="AK236" s="22"/>
      <c r="AL236" s="22"/>
      <c r="AM236" s="22"/>
      <c r="AN236" s="22"/>
      <c r="AO236" s="22"/>
      <c r="AP236" s="22"/>
      <c r="AQ236" s="22"/>
      <c r="AR236" s="22"/>
      <c r="AS236" s="22"/>
      <c r="AT236" s="22"/>
      <c r="AU236" s="22"/>
      <c r="AV236" s="22"/>
      <c r="AW236" s="109"/>
      <c r="AX236" s="22"/>
      <c r="AY236" s="140"/>
      <c r="AZ236" s="140"/>
      <c r="BA236" s="140"/>
      <c r="BB236" s="140"/>
      <c r="BC236" s="140"/>
      <c r="BD236" s="140"/>
      <c r="BE236" s="140"/>
      <c r="BF236" s="140"/>
      <c r="BG236" s="140"/>
      <c r="BH236" s="140"/>
      <c r="BI236" s="140"/>
      <c r="BJ236" s="140"/>
      <c r="BK236" s="140"/>
      <c r="BL236" s="140"/>
      <c r="BM236" s="140"/>
      <c r="BN236" s="140"/>
      <c r="BO236" s="140"/>
      <c r="BP236" s="140"/>
      <c r="BQ236" s="140"/>
      <c r="BR236" s="26"/>
    </row>
    <row r="237" spans="2:70" ht="22.2" thickBot="1" x14ac:dyDescent="0.5">
      <c r="B237" s="1" t="s">
        <v>199</v>
      </c>
      <c r="C237" s="2" t="s">
        <v>21</v>
      </c>
      <c r="D237" s="18">
        <v>42032</v>
      </c>
      <c r="E237" s="3">
        <v>0</v>
      </c>
      <c r="F237" s="4">
        <f t="shared" si="394"/>
        <v>0</v>
      </c>
      <c r="G237" s="4">
        <f t="shared" si="392"/>
        <v>0</v>
      </c>
      <c r="H237" s="5">
        <f t="shared" si="395"/>
        <v>0</v>
      </c>
      <c r="I237" s="6">
        <v>15</v>
      </c>
      <c r="J237" s="86"/>
      <c r="K237" s="7"/>
      <c r="L237" s="11">
        <v>42763</v>
      </c>
      <c r="M237" s="7"/>
      <c r="N237" s="9" t="s">
        <v>309</v>
      </c>
      <c r="W237" s="1" t="s">
        <v>199</v>
      </c>
      <c r="X237" s="50">
        <v>0</v>
      </c>
      <c r="Y237" s="48">
        <v>0</v>
      </c>
      <c r="Z237" s="49">
        <v>0</v>
      </c>
      <c r="AA237" s="49"/>
      <c r="AB237" s="49"/>
      <c r="AC237" s="22"/>
      <c r="AD237" s="22"/>
      <c r="AE237" s="22"/>
      <c r="AF237" s="22"/>
      <c r="AG237" s="22"/>
      <c r="AH237" s="22"/>
      <c r="AI237" s="22"/>
      <c r="AJ237" s="22"/>
      <c r="AK237" s="22"/>
      <c r="AL237" s="22"/>
      <c r="AM237" s="22"/>
      <c r="AN237" s="22"/>
      <c r="AO237" s="22"/>
      <c r="AP237" s="22"/>
      <c r="AQ237" s="22"/>
      <c r="AR237" s="22"/>
      <c r="AS237" s="22"/>
      <c r="AT237" s="22"/>
      <c r="AU237" s="22"/>
      <c r="AV237" s="22"/>
      <c r="AW237" s="109"/>
      <c r="AX237" s="22"/>
      <c r="AY237" s="140"/>
      <c r="AZ237" s="140"/>
      <c r="BA237" s="140"/>
      <c r="BB237" s="140"/>
      <c r="BC237" s="140"/>
      <c r="BD237" s="140"/>
      <c r="BE237" s="140"/>
      <c r="BF237" s="140"/>
      <c r="BG237" s="140"/>
      <c r="BH237" s="140"/>
      <c r="BI237" s="140"/>
      <c r="BJ237" s="140"/>
      <c r="BK237" s="140"/>
      <c r="BL237" s="140"/>
      <c r="BM237" s="140"/>
      <c r="BN237" s="140"/>
      <c r="BO237" s="140"/>
      <c r="BP237" s="140"/>
      <c r="BQ237" s="140"/>
      <c r="BR237" s="26"/>
    </row>
    <row r="238" spans="2:70" ht="22.2" thickBot="1" x14ac:dyDescent="0.5">
      <c r="B238" s="1" t="s">
        <v>102</v>
      </c>
      <c r="C238" s="2" t="s">
        <v>19</v>
      </c>
      <c r="D238" s="1" t="s">
        <v>165</v>
      </c>
      <c r="E238" s="3">
        <v>0</v>
      </c>
      <c r="F238" s="4">
        <f t="shared" si="394"/>
        <v>0</v>
      </c>
      <c r="G238" s="4">
        <f t="shared" si="392"/>
        <v>0</v>
      </c>
      <c r="H238" s="5">
        <f t="shared" si="395"/>
        <v>0</v>
      </c>
      <c r="I238" s="6">
        <v>15</v>
      </c>
      <c r="J238" s="86"/>
      <c r="K238" s="7"/>
      <c r="L238" s="19"/>
      <c r="M238" s="7"/>
      <c r="N238" s="9" t="s">
        <v>309</v>
      </c>
      <c r="W238" s="1" t="s">
        <v>102</v>
      </c>
      <c r="X238" s="50">
        <v>0</v>
      </c>
      <c r="Y238" s="48">
        <v>96</v>
      </c>
      <c r="Z238" s="49">
        <v>0</v>
      </c>
      <c r="AA238" s="49"/>
      <c r="AB238" s="49"/>
      <c r="AC238" s="22"/>
      <c r="AD238" s="22"/>
      <c r="AE238" s="22"/>
      <c r="AF238" s="22"/>
      <c r="AG238" s="22"/>
      <c r="AH238" s="22"/>
      <c r="AI238" s="22"/>
      <c r="AJ238" s="22"/>
      <c r="AK238" s="22"/>
      <c r="AL238" s="22"/>
      <c r="AM238" s="22"/>
      <c r="AN238" s="22"/>
      <c r="AO238" s="22"/>
      <c r="AP238" s="22"/>
      <c r="AQ238" s="22"/>
      <c r="AR238" s="22"/>
      <c r="AS238" s="22"/>
      <c r="AT238" s="22"/>
      <c r="AU238" s="22"/>
      <c r="AV238" s="22"/>
      <c r="AW238" s="109"/>
      <c r="AX238" s="22"/>
      <c r="AY238" s="140"/>
      <c r="AZ238" s="140"/>
      <c r="BA238" s="140"/>
      <c r="BB238" s="140"/>
      <c r="BC238" s="140"/>
      <c r="BD238" s="140"/>
      <c r="BE238" s="140"/>
      <c r="BF238" s="140"/>
      <c r="BG238" s="140"/>
      <c r="BH238" s="140"/>
      <c r="BI238" s="140"/>
      <c r="BJ238" s="140"/>
      <c r="BK238" s="140"/>
      <c r="BL238" s="140"/>
      <c r="BM238" s="140"/>
      <c r="BN238" s="140"/>
      <c r="BO238" s="140"/>
      <c r="BP238" s="140"/>
      <c r="BQ238" s="140"/>
      <c r="BR238" s="26"/>
    </row>
    <row r="239" spans="2:70" ht="22.2" thickBot="1" x14ac:dyDescent="0.5">
      <c r="B239" s="1" t="s">
        <v>201</v>
      </c>
      <c r="C239" s="2" t="s">
        <v>19</v>
      </c>
      <c r="D239" s="13">
        <v>42114</v>
      </c>
      <c r="E239" s="3">
        <v>0</v>
      </c>
      <c r="F239" s="4">
        <f t="shared" si="394"/>
        <v>0</v>
      </c>
      <c r="G239" s="4">
        <f t="shared" si="392"/>
        <v>0</v>
      </c>
      <c r="H239" s="5">
        <f t="shared" si="395"/>
        <v>0</v>
      </c>
      <c r="I239" s="6">
        <v>15</v>
      </c>
      <c r="J239" s="86"/>
      <c r="K239" s="7"/>
      <c r="L239" s="11">
        <v>42845</v>
      </c>
      <c r="M239" s="7"/>
      <c r="N239" s="9" t="s">
        <v>309</v>
      </c>
      <c r="W239" s="1" t="s">
        <v>201</v>
      </c>
      <c r="X239" s="50">
        <v>0</v>
      </c>
      <c r="Y239" s="49">
        <v>120</v>
      </c>
      <c r="Z239" s="49">
        <v>0</v>
      </c>
      <c r="AA239" s="49"/>
      <c r="AB239" s="49"/>
      <c r="AC239" s="22"/>
      <c r="AD239" s="22"/>
      <c r="AE239" s="22"/>
      <c r="AF239" s="22"/>
      <c r="AG239" s="22"/>
      <c r="AH239" s="22"/>
      <c r="AI239" s="22"/>
      <c r="AJ239" s="22"/>
      <c r="AK239" s="22"/>
      <c r="AL239" s="22"/>
      <c r="AM239" s="22"/>
      <c r="AN239" s="22"/>
      <c r="AO239" s="22"/>
      <c r="AP239" s="22"/>
      <c r="AQ239" s="22"/>
      <c r="AR239" s="22"/>
      <c r="AS239" s="22"/>
      <c r="AT239" s="22"/>
      <c r="AU239" s="22"/>
      <c r="AV239" s="22"/>
      <c r="AW239" s="109"/>
      <c r="AX239" s="22"/>
      <c r="AY239" s="140"/>
      <c r="AZ239" s="140"/>
      <c r="BA239" s="140"/>
      <c r="BB239" s="140"/>
      <c r="BC239" s="140"/>
      <c r="BD239" s="140"/>
      <c r="BE239" s="140"/>
      <c r="BF239" s="140"/>
      <c r="BG239" s="140"/>
      <c r="BH239" s="140"/>
      <c r="BI239" s="140"/>
      <c r="BJ239" s="140"/>
      <c r="BK239" s="140"/>
      <c r="BL239" s="140"/>
      <c r="BM239" s="140"/>
      <c r="BN239" s="140"/>
      <c r="BO239" s="140"/>
      <c r="BP239" s="140"/>
      <c r="BQ239" s="140"/>
      <c r="BR239" s="26"/>
    </row>
    <row r="240" spans="2:70" ht="22.2" thickBot="1" x14ac:dyDescent="0.5">
      <c r="B240" s="1" t="s">
        <v>209</v>
      </c>
      <c r="C240" s="2" t="s">
        <v>20</v>
      </c>
      <c r="D240" s="13">
        <v>42633</v>
      </c>
      <c r="E240" s="3">
        <v>0</v>
      </c>
      <c r="F240" s="4">
        <f t="shared" si="394"/>
        <v>0</v>
      </c>
      <c r="G240" s="4">
        <f t="shared" si="392"/>
        <v>0</v>
      </c>
      <c r="H240" s="5">
        <f t="shared" si="395"/>
        <v>0</v>
      </c>
      <c r="I240" s="6">
        <v>15</v>
      </c>
      <c r="J240" s="86"/>
      <c r="K240" s="7"/>
      <c r="L240" s="11">
        <v>43363</v>
      </c>
      <c r="M240" s="7"/>
      <c r="N240" s="9" t="s">
        <v>309</v>
      </c>
      <c r="W240" s="1" t="s">
        <v>209</v>
      </c>
      <c r="X240" s="50">
        <v>0</v>
      </c>
      <c r="Y240" s="49">
        <v>0</v>
      </c>
      <c r="Z240" s="49">
        <v>0</v>
      </c>
      <c r="AA240" s="49"/>
      <c r="AB240" s="49"/>
      <c r="AC240" s="22"/>
      <c r="AD240" s="22"/>
      <c r="AE240" s="22"/>
      <c r="AF240" s="22"/>
      <c r="AG240" s="22"/>
      <c r="AH240" s="22"/>
      <c r="AI240" s="22"/>
      <c r="AJ240" s="22"/>
      <c r="AK240" s="22"/>
      <c r="AL240" s="22"/>
      <c r="AM240" s="22"/>
      <c r="AN240" s="22"/>
      <c r="AO240" s="22"/>
      <c r="AP240" s="22"/>
      <c r="AQ240" s="22"/>
      <c r="AR240" s="22"/>
      <c r="AS240" s="22"/>
      <c r="AT240" s="22"/>
      <c r="AU240" s="22"/>
      <c r="AV240" s="22"/>
      <c r="AW240" s="109"/>
      <c r="AX240" s="22"/>
      <c r="AY240" s="140"/>
      <c r="AZ240" s="140"/>
      <c r="BA240" s="140"/>
      <c r="BB240" s="140"/>
      <c r="BC240" s="140"/>
      <c r="BD240" s="140"/>
      <c r="BE240" s="140"/>
      <c r="BF240" s="140"/>
      <c r="BG240" s="140"/>
      <c r="BH240" s="140"/>
      <c r="BI240" s="140"/>
      <c r="BJ240" s="140"/>
      <c r="BK240" s="140"/>
      <c r="BL240" s="140"/>
      <c r="BM240" s="140"/>
      <c r="BN240" s="140"/>
      <c r="BO240" s="140"/>
      <c r="BP240" s="140"/>
      <c r="BQ240" s="140"/>
      <c r="BR240" s="26"/>
    </row>
    <row r="241" spans="2:70" ht="22.2" thickBot="1" x14ac:dyDescent="0.5">
      <c r="B241" s="1" t="s">
        <v>202</v>
      </c>
      <c r="C241" s="2" t="s">
        <v>19</v>
      </c>
      <c r="D241" s="13">
        <v>42025</v>
      </c>
      <c r="E241" s="4">
        <v>1</v>
      </c>
      <c r="F241" s="4">
        <f t="shared" si="394"/>
        <v>533.33000000000004</v>
      </c>
      <c r="G241" s="4">
        <f t="shared" si="392"/>
        <v>0</v>
      </c>
      <c r="H241" s="5">
        <f t="shared" si="395"/>
        <v>533.33000000000004</v>
      </c>
      <c r="I241" s="6">
        <v>15</v>
      </c>
      <c r="J241" s="86"/>
      <c r="K241" s="7"/>
      <c r="L241" s="8">
        <v>43486</v>
      </c>
      <c r="M241" s="7"/>
      <c r="N241" s="9" t="s">
        <v>309</v>
      </c>
      <c r="W241" s="1" t="s">
        <v>202</v>
      </c>
      <c r="X241" s="49">
        <v>0</v>
      </c>
      <c r="Y241" s="49">
        <v>96</v>
      </c>
      <c r="Z241" s="49">
        <v>96</v>
      </c>
      <c r="AA241" s="49"/>
      <c r="AB241" s="49"/>
      <c r="AC241" s="22"/>
      <c r="AD241" s="22"/>
      <c r="AE241" s="22"/>
      <c r="AF241" s="22"/>
      <c r="AG241" s="22"/>
      <c r="AH241" s="22"/>
      <c r="AI241" s="22"/>
      <c r="AJ241" s="22"/>
      <c r="AK241" s="22"/>
      <c r="AL241" s="22"/>
      <c r="AM241" s="22"/>
      <c r="AN241" s="22"/>
      <c r="AO241" s="22"/>
      <c r="AP241" s="22"/>
      <c r="AQ241" s="22"/>
      <c r="AR241" s="22"/>
      <c r="AS241" s="22"/>
      <c r="AT241" s="22"/>
      <c r="AU241" s="22"/>
      <c r="AV241" s="22"/>
      <c r="AW241" s="109"/>
      <c r="AX241" s="22"/>
      <c r="AY241" s="140"/>
      <c r="AZ241" s="140"/>
      <c r="BA241" s="140"/>
      <c r="BB241" s="140"/>
      <c r="BC241" s="140"/>
      <c r="BD241" s="140"/>
      <c r="BE241" s="140"/>
      <c r="BF241" s="140"/>
      <c r="BG241" s="140"/>
      <c r="BH241" s="140"/>
      <c r="BI241" s="140"/>
      <c r="BJ241" s="140"/>
      <c r="BK241" s="140"/>
      <c r="BL241" s="140"/>
      <c r="BM241" s="140"/>
      <c r="BN241" s="140"/>
      <c r="BO241" s="140"/>
      <c r="BP241" s="140"/>
      <c r="BQ241" s="140"/>
      <c r="BR241" s="26"/>
    </row>
    <row r="242" spans="2:70" ht="22.2" thickBot="1" x14ac:dyDescent="0.5">
      <c r="B242" s="1" t="s">
        <v>44</v>
      </c>
      <c r="C242" s="2" t="s">
        <v>171</v>
      </c>
      <c r="D242" s="1" t="s">
        <v>126</v>
      </c>
      <c r="E242" s="3">
        <v>8</v>
      </c>
      <c r="F242" s="4">
        <f t="shared" ref="F242:F251" si="396">+E242*$C$1</f>
        <v>4266.6400000000003</v>
      </c>
      <c r="G242" s="4">
        <f t="shared" ref="G242:G251" si="397">+BR242</f>
        <v>0</v>
      </c>
      <c r="H242" s="5">
        <f t="shared" ref="H242:H251" si="398">+F242+G242</f>
        <v>4266.6400000000003</v>
      </c>
      <c r="I242" s="6">
        <v>8</v>
      </c>
      <c r="J242" s="86"/>
      <c r="K242" s="7"/>
      <c r="L242" s="12">
        <v>43528</v>
      </c>
      <c r="M242" s="7"/>
      <c r="N242" s="9" t="s">
        <v>309</v>
      </c>
      <c r="W242" s="10" t="s">
        <v>44</v>
      </c>
      <c r="X242" s="50">
        <v>1350</v>
      </c>
      <c r="Y242" s="48">
        <v>96</v>
      </c>
      <c r="Z242" s="49">
        <v>96</v>
      </c>
      <c r="AA242" s="49"/>
      <c r="AB242" s="49"/>
      <c r="AC242" s="22"/>
      <c r="AD242" s="22"/>
      <c r="AE242" s="22"/>
      <c r="AF242" s="22"/>
      <c r="AG242" s="22"/>
      <c r="AH242" s="22"/>
      <c r="AI242" s="22"/>
      <c r="AJ242" s="22"/>
      <c r="AK242" s="22"/>
      <c r="AL242" s="22"/>
      <c r="AM242" s="22"/>
      <c r="AN242" s="22"/>
      <c r="AO242" s="22"/>
      <c r="AP242" s="22"/>
      <c r="AQ242" s="22"/>
      <c r="AR242" s="22"/>
      <c r="AS242" s="22"/>
      <c r="AT242" s="22"/>
      <c r="AU242" s="22"/>
      <c r="AV242" s="22"/>
      <c r="AW242" s="109"/>
      <c r="AX242" s="22"/>
      <c r="AY242" s="140"/>
      <c r="AZ242" s="140"/>
      <c r="BA242" s="140"/>
      <c r="BB242" s="140"/>
      <c r="BC242" s="140"/>
      <c r="BD242" s="140"/>
      <c r="BE242" s="140"/>
      <c r="BF242" s="140"/>
      <c r="BG242" s="140"/>
      <c r="BH242" s="140"/>
      <c r="BI242" s="140"/>
      <c r="BJ242" s="140"/>
      <c r="BK242" s="140"/>
      <c r="BL242" s="140"/>
      <c r="BM242" s="140"/>
      <c r="BN242" s="140"/>
      <c r="BO242" s="140"/>
      <c r="BP242" s="140"/>
      <c r="BQ242" s="140"/>
      <c r="BR242" s="26"/>
    </row>
    <row r="243" spans="2:70" ht="22.2" thickBot="1" x14ac:dyDescent="0.5">
      <c r="B243" s="1" t="s">
        <v>216</v>
      </c>
      <c r="C243" s="2" t="s">
        <v>21</v>
      </c>
      <c r="D243" s="13">
        <v>42752</v>
      </c>
      <c r="E243" s="3">
        <v>0</v>
      </c>
      <c r="F243" s="4">
        <f t="shared" si="396"/>
        <v>0</v>
      </c>
      <c r="G243" s="4">
        <f t="shared" si="397"/>
        <v>0</v>
      </c>
      <c r="H243" s="5">
        <f t="shared" si="398"/>
        <v>0</v>
      </c>
      <c r="I243" s="6">
        <v>15</v>
      </c>
      <c r="J243" s="86"/>
      <c r="K243" s="7"/>
      <c r="L243" s="8">
        <v>43482</v>
      </c>
      <c r="M243" s="7"/>
      <c r="N243" s="9" t="s">
        <v>309</v>
      </c>
      <c r="W243" s="1" t="s">
        <v>216</v>
      </c>
      <c r="X243" s="50">
        <v>0</v>
      </c>
      <c r="Y243" s="48">
        <v>0</v>
      </c>
      <c r="Z243" s="49">
        <v>96</v>
      </c>
      <c r="AA243" s="49">
        <v>150</v>
      </c>
      <c r="AB243" s="49"/>
      <c r="AC243" s="22"/>
      <c r="AD243" s="22"/>
      <c r="AE243" s="22"/>
      <c r="AF243" s="22"/>
      <c r="AG243" s="22"/>
      <c r="AH243" s="22"/>
      <c r="AI243" s="22"/>
      <c r="AJ243" s="22"/>
      <c r="AK243" s="22"/>
      <c r="AL243" s="22"/>
      <c r="AM243" s="22"/>
      <c r="AN243" s="22"/>
      <c r="AO243" s="22"/>
      <c r="AP243" s="22"/>
      <c r="AQ243" s="22"/>
      <c r="AR243" s="22"/>
      <c r="AS243" s="22"/>
      <c r="AT243" s="22"/>
      <c r="AU243" s="22"/>
      <c r="AV243" s="22"/>
      <c r="AW243" s="109"/>
      <c r="AX243" s="22"/>
      <c r="AY243" s="140"/>
      <c r="AZ243" s="140"/>
      <c r="BA243" s="140"/>
      <c r="BB243" s="140"/>
      <c r="BC243" s="140"/>
      <c r="BD243" s="140"/>
      <c r="BE243" s="140"/>
      <c r="BF243" s="140"/>
      <c r="BG243" s="140"/>
      <c r="BH243" s="140"/>
      <c r="BI243" s="140"/>
      <c r="BJ243" s="140"/>
      <c r="BK243" s="140"/>
      <c r="BL243" s="140"/>
      <c r="BM243" s="140"/>
      <c r="BN243" s="140"/>
      <c r="BO243" s="140"/>
      <c r="BP243" s="140"/>
      <c r="BQ243" s="140"/>
      <c r="BR243" s="26"/>
    </row>
    <row r="244" spans="2:70" ht="22.2" thickBot="1" x14ac:dyDescent="0.5">
      <c r="B244" s="1" t="s">
        <v>217</v>
      </c>
      <c r="C244" s="2" t="s">
        <v>20</v>
      </c>
      <c r="D244" s="13">
        <v>42770</v>
      </c>
      <c r="E244" s="3">
        <v>0</v>
      </c>
      <c r="F244" s="4">
        <f t="shared" si="396"/>
        <v>0</v>
      </c>
      <c r="G244" s="4">
        <f t="shared" si="397"/>
        <v>0</v>
      </c>
      <c r="H244" s="5">
        <f t="shared" si="398"/>
        <v>0</v>
      </c>
      <c r="I244" s="6">
        <v>15</v>
      </c>
      <c r="J244" s="86"/>
      <c r="K244" s="7"/>
      <c r="L244" s="11">
        <v>43500</v>
      </c>
      <c r="M244" s="7"/>
      <c r="N244" s="9" t="s">
        <v>309</v>
      </c>
      <c r="W244" s="1" t="s">
        <v>217</v>
      </c>
      <c r="X244" s="50">
        <v>0</v>
      </c>
      <c r="Y244" s="48">
        <v>0</v>
      </c>
      <c r="Z244" s="49">
        <v>96</v>
      </c>
      <c r="AA244" s="49"/>
      <c r="AB244" s="49"/>
      <c r="AC244" s="22"/>
      <c r="AD244" s="22"/>
      <c r="AE244" s="22"/>
      <c r="AF244" s="22"/>
      <c r="AG244" s="22"/>
      <c r="AH244" s="22"/>
      <c r="AI244" s="22"/>
      <c r="AJ244" s="22"/>
      <c r="AK244" s="22"/>
      <c r="AL244" s="22"/>
      <c r="AM244" s="22"/>
      <c r="AN244" s="22"/>
      <c r="AO244" s="22"/>
      <c r="AP244" s="22"/>
      <c r="AQ244" s="22"/>
      <c r="AR244" s="22"/>
      <c r="AS244" s="22"/>
      <c r="AT244" s="22"/>
      <c r="AU244" s="22"/>
      <c r="AV244" s="22"/>
      <c r="AW244" s="109"/>
      <c r="AX244" s="22"/>
      <c r="AY244" s="140"/>
      <c r="AZ244" s="140"/>
      <c r="BA244" s="140"/>
      <c r="BB244" s="140"/>
      <c r="BC244" s="140"/>
      <c r="BD244" s="140"/>
      <c r="BE244" s="140"/>
      <c r="BF244" s="140"/>
      <c r="BG244" s="140"/>
      <c r="BH244" s="140"/>
      <c r="BI244" s="140"/>
      <c r="BJ244" s="140"/>
      <c r="BK244" s="140"/>
      <c r="BL244" s="140"/>
      <c r="BM244" s="140"/>
      <c r="BN244" s="140"/>
      <c r="BO244" s="140"/>
      <c r="BP244" s="140"/>
      <c r="BQ244" s="140"/>
      <c r="BR244" s="26"/>
    </row>
    <row r="245" spans="2:70" ht="22.2" thickBot="1" x14ac:dyDescent="0.5">
      <c r="B245" s="1" t="s">
        <v>228</v>
      </c>
      <c r="C245" s="2" t="s">
        <v>21</v>
      </c>
      <c r="D245" s="13"/>
      <c r="E245" s="3">
        <v>1</v>
      </c>
      <c r="F245" s="4">
        <f t="shared" si="396"/>
        <v>533.33000000000004</v>
      </c>
      <c r="G245" s="4">
        <f t="shared" si="397"/>
        <v>0</v>
      </c>
      <c r="H245" s="5">
        <f t="shared" si="398"/>
        <v>533.33000000000004</v>
      </c>
      <c r="I245" s="6">
        <v>15</v>
      </c>
      <c r="J245" s="86"/>
      <c r="K245" s="7"/>
      <c r="L245" s="11">
        <v>43575</v>
      </c>
      <c r="M245" s="7"/>
      <c r="N245" s="9" t="s">
        <v>309</v>
      </c>
      <c r="W245" s="1" t="s">
        <v>228</v>
      </c>
      <c r="X245" s="50">
        <v>0</v>
      </c>
      <c r="Y245" s="48">
        <v>96</v>
      </c>
      <c r="Z245" s="49">
        <v>96</v>
      </c>
      <c r="AA245" s="49"/>
      <c r="AB245" s="49"/>
      <c r="AC245" s="22"/>
      <c r="AD245" s="22"/>
      <c r="AE245" s="22"/>
      <c r="AF245" s="22"/>
      <c r="AG245" s="22"/>
      <c r="AH245" s="22"/>
      <c r="AI245" s="22"/>
      <c r="AJ245" s="22"/>
      <c r="AK245" s="22"/>
      <c r="AL245" s="22"/>
      <c r="AM245" s="22"/>
      <c r="AN245" s="22"/>
      <c r="AO245" s="22"/>
      <c r="AP245" s="22"/>
      <c r="AQ245" s="22"/>
      <c r="AR245" s="22"/>
      <c r="AS245" s="22"/>
      <c r="AT245" s="22"/>
      <c r="AU245" s="22"/>
      <c r="AV245" s="22"/>
      <c r="AW245" s="109"/>
      <c r="AX245" s="22"/>
      <c r="AY245" s="140"/>
      <c r="AZ245" s="140"/>
      <c r="BA245" s="140"/>
      <c r="BB245" s="140"/>
      <c r="BC245" s="140"/>
      <c r="BD245" s="140"/>
      <c r="BE245" s="140"/>
      <c r="BF245" s="140"/>
      <c r="BG245" s="140"/>
      <c r="BH245" s="140"/>
      <c r="BI245" s="140"/>
      <c r="BJ245" s="140"/>
      <c r="BK245" s="140"/>
      <c r="BL245" s="140"/>
      <c r="BM245" s="140"/>
      <c r="BN245" s="140"/>
      <c r="BO245" s="140"/>
      <c r="BP245" s="140"/>
      <c r="BQ245" s="140"/>
      <c r="BR245" s="26"/>
    </row>
    <row r="246" spans="2:70" ht="22.2" thickBot="1" x14ac:dyDescent="0.5">
      <c r="B246" s="1" t="s">
        <v>242</v>
      </c>
      <c r="C246" s="2" t="s">
        <v>21</v>
      </c>
      <c r="D246" s="13"/>
      <c r="E246" s="3">
        <v>0</v>
      </c>
      <c r="F246" s="4">
        <f t="shared" si="396"/>
        <v>0</v>
      </c>
      <c r="G246" s="4">
        <f t="shared" si="397"/>
        <v>0</v>
      </c>
      <c r="H246" s="5">
        <f t="shared" si="398"/>
        <v>0</v>
      </c>
      <c r="I246" s="6">
        <v>15</v>
      </c>
      <c r="J246" s="86"/>
      <c r="K246" s="7"/>
      <c r="L246" s="11"/>
      <c r="M246" s="7"/>
      <c r="N246" s="9" t="s">
        <v>309</v>
      </c>
      <c r="W246" s="1" t="s">
        <v>242</v>
      </c>
      <c r="X246" s="50">
        <v>0</v>
      </c>
      <c r="Y246" s="48">
        <v>0</v>
      </c>
      <c r="Z246" s="49">
        <v>0</v>
      </c>
      <c r="AA246" s="49">
        <v>96</v>
      </c>
      <c r="AB246" s="49"/>
      <c r="AC246" s="22"/>
      <c r="AD246" s="22"/>
      <c r="AE246" s="22"/>
      <c r="AF246" s="22"/>
      <c r="AG246" s="22"/>
      <c r="AH246" s="22"/>
      <c r="AI246" s="22"/>
      <c r="AJ246" s="22"/>
      <c r="AK246" s="22"/>
      <c r="AL246" s="22"/>
      <c r="AM246" s="22"/>
      <c r="AN246" s="22"/>
      <c r="AO246" s="22"/>
      <c r="AP246" s="22"/>
      <c r="AQ246" s="22"/>
      <c r="AR246" s="22"/>
      <c r="AS246" s="22"/>
      <c r="AT246" s="22"/>
      <c r="AU246" s="22"/>
      <c r="AV246" s="22"/>
      <c r="AW246" s="109"/>
      <c r="AX246" s="22"/>
      <c r="AY246" s="140"/>
      <c r="AZ246" s="140"/>
      <c r="BA246" s="140"/>
      <c r="BB246" s="140"/>
      <c r="BC246" s="140"/>
      <c r="BD246" s="140"/>
      <c r="BE246" s="140"/>
      <c r="BF246" s="140"/>
      <c r="BG246" s="140"/>
      <c r="BH246" s="140"/>
      <c r="BI246" s="140"/>
      <c r="BJ246" s="140"/>
      <c r="BK246" s="140"/>
      <c r="BL246" s="140"/>
      <c r="BM246" s="140"/>
      <c r="BN246" s="140"/>
      <c r="BO246" s="140"/>
      <c r="BP246" s="140"/>
      <c r="BQ246" s="140"/>
      <c r="BR246" s="26"/>
    </row>
    <row r="247" spans="2:70" ht="22.2" thickBot="1" x14ac:dyDescent="0.5">
      <c r="B247" s="1" t="s">
        <v>71</v>
      </c>
      <c r="C247" s="2" t="s">
        <v>23</v>
      </c>
      <c r="D247" s="1" t="s">
        <v>146</v>
      </c>
      <c r="E247" s="3">
        <v>5</v>
      </c>
      <c r="F247" s="4">
        <f t="shared" si="396"/>
        <v>2666.65</v>
      </c>
      <c r="G247" s="4">
        <f t="shared" si="397"/>
        <v>0</v>
      </c>
      <c r="H247" s="5">
        <f t="shared" si="398"/>
        <v>2666.65</v>
      </c>
      <c r="I247" s="6">
        <v>10</v>
      </c>
      <c r="J247" s="86"/>
      <c r="K247" s="7"/>
      <c r="L247" s="12">
        <v>43544</v>
      </c>
      <c r="M247" s="7"/>
      <c r="N247" s="9" t="s">
        <v>309</v>
      </c>
      <c r="W247" s="1" t="s">
        <v>71</v>
      </c>
      <c r="X247" s="50">
        <v>1200</v>
      </c>
      <c r="Y247" s="48">
        <v>96</v>
      </c>
      <c r="Z247" s="49">
        <v>108</v>
      </c>
      <c r="AA247" s="49"/>
      <c r="AB247" s="49"/>
      <c r="AC247" s="22"/>
      <c r="AD247" s="22"/>
      <c r="AE247" s="22"/>
      <c r="AF247" s="22"/>
      <c r="AG247" s="22"/>
      <c r="AH247" s="22"/>
      <c r="AI247" s="22"/>
      <c r="AJ247" s="22"/>
      <c r="AK247" s="22"/>
      <c r="AL247" s="22"/>
      <c r="AM247" s="22"/>
      <c r="AN247" s="22"/>
      <c r="AO247" s="22"/>
      <c r="AP247" s="22"/>
      <c r="AQ247" s="22"/>
      <c r="AR247" s="22"/>
      <c r="AS247" s="22"/>
      <c r="AT247" s="22"/>
      <c r="AU247" s="22"/>
      <c r="AV247" s="22"/>
      <c r="AW247" s="109"/>
      <c r="AX247" s="22"/>
      <c r="AY247" s="140"/>
      <c r="AZ247" s="140"/>
      <c r="BA247" s="140"/>
      <c r="BB247" s="140"/>
      <c r="BC247" s="140"/>
      <c r="BD247" s="140"/>
      <c r="BE247" s="140"/>
      <c r="BF247" s="140"/>
      <c r="BG247" s="140"/>
      <c r="BH247" s="140"/>
      <c r="BI247" s="140"/>
      <c r="BJ247" s="140"/>
      <c r="BK247" s="140"/>
      <c r="BL247" s="140"/>
      <c r="BM247" s="140"/>
      <c r="BN247" s="140"/>
      <c r="BO247" s="140"/>
      <c r="BP247" s="140"/>
      <c r="BQ247" s="140"/>
      <c r="BR247" s="26"/>
    </row>
    <row r="248" spans="2:70" ht="22.2" thickBot="1" x14ac:dyDescent="0.5">
      <c r="B248" s="1" t="s">
        <v>79</v>
      </c>
      <c r="C248" s="2" t="s">
        <v>21</v>
      </c>
      <c r="D248" s="10" t="s">
        <v>152</v>
      </c>
      <c r="E248" s="3">
        <v>15</v>
      </c>
      <c r="F248" s="4">
        <f t="shared" si="396"/>
        <v>7999.9500000000007</v>
      </c>
      <c r="G248" s="4">
        <f t="shared" si="397"/>
        <v>0</v>
      </c>
      <c r="H248" s="5">
        <f t="shared" si="398"/>
        <v>7999.9500000000007</v>
      </c>
      <c r="I248" s="6">
        <v>2</v>
      </c>
      <c r="J248" s="86"/>
      <c r="K248" s="7"/>
      <c r="L248" s="12"/>
      <c r="M248" s="7"/>
      <c r="N248" s="9" t="s">
        <v>309</v>
      </c>
      <c r="W248" s="1" t="s">
        <v>79</v>
      </c>
      <c r="X248" s="50">
        <v>3399.5</v>
      </c>
      <c r="Y248" s="48">
        <v>96</v>
      </c>
      <c r="Z248" s="49">
        <v>96</v>
      </c>
      <c r="AA248" s="49"/>
      <c r="AB248" s="49"/>
      <c r="AC248" s="22"/>
      <c r="AD248" s="22"/>
      <c r="AE248" s="22"/>
      <c r="AF248" s="22"/>
      <c r="AG248" s="22"/>
      <c r="AH248" s="22"/>
      <c r="AI248" s="22"/>
      <c r="AJ248" s="22"/>
      <c r="AK248" s="22"/>
      <c r="AL248" s="22"/>
      <c r="AM248" s="22"/>
      <c r="AN248" s="22"/>
      <c r="AO248" s="22"/>
      <c r="AP248" s="22"/>
      <c r="AQ248" s="22"/>
      <c r="AR248" s="22"/>
      <c r="AS248" s="22"/>
      <c r="AT248" s="22"/>
      <c r="AU248" s="22"/>
      <c r="AV248" s="22"/>
      <c r="AW248" s="109"/>
      <c r="AX248" s="22"/>
      <c r="AY248" s="140"/>
      <c r="AZ248" s="140"/>
      <c r="BA248" s="140"/>
      <c r="BB248" s="140"/>
      <c r="BC248" s="140"/>
      <c r="BD248" s="140"/>
      <c r="BE248" s="140"/>
      <c r="BF248" s="140"/>
      <c r="BG248" s="140"/>
      <c r="BH248" s="140"/>
      <c r="BI248" s="140"/>
      <c r="BJ248" s="140"/>
      <c r="BK248" s="140"/>
      <c r="BL248" s="140"/>
      <c r="BM248" s="140"/>
      <c r="BN248" s="140"/>
      <c r="BO248" s="140"/>
      <c r="BP248" s="140"/>
      <c r="BQ248" s="140"/>
      <c r="BR248" s="26"/>
    </row>
    <row r="249" spans="2:70" ht="22.2" thickBot="1" x14ac:dyDescent="0.5">
      <c r="B249" s="1" t="s">
        <v>232</v>
      </c>
      <c r="C249" s="2" t="s">
        <v>20</v>
      </c>
      <c r="D249" s="13">
        <v>42736</v>
      </c>
      <c r="E249" s="3">
        <v>1</v>
      </c>
      <c r="F249" s="4">
        <f t="shared" si="396"/>
        <v>533.33000000000004</v>
      </c>
      <c r="G249" s="4">
        <f t="shared" si="397"/>
        <v>0</v>
      </c>
      <c r="H249" s="5">
        <f t="shared" si="398"/>
        <v>533.33000000000004</v>
      </c>
      <c r="I249" s="6">
        <v>15</v>
      </c>
      <c r="J249" s="86"/>
      <c r="K249" s="7"/>
      <c r="L249" s="11">
        <v>43843</v>
      </c>
      <c r="M249" s="7"/>
      <c r="N249" s="9" t="s">
        <v>309</v>
      </c>
      <c r="W249" s="1" t="s">
        <v>219</v>
      </c>
      <c r="X249" s="50">
        <v>0</v>
      </c>
      <c r="Y249" s="48">
        <v>0</v>
      </c>
      <c r="Z249" s="49">
        <v>96</v>
      </c>
      <c r="AA249" s="49"/>
      <c r="AB249" s="49"/>
      <c r="AC249" s="22"/>
      <c r="AD249" s="22"/>
      <c r="AE249" s="22"/>
      <c r="AF249" s="22"/>
      <c r="AG249" s="22"/>
      <c r="AH249" s="22"/>
      <c r="AI249" s="22"/>
      <c r="AJ249" s="22"/>
      <c r="AK249" s="22"/>
      <c r="AL249" s="22"/>
      <c r="AM249" s="22"/>
      <c r="AN249" s="22"/>
      <c r="AO249" s="22"/>
      <c r="AP249" s="22"/>
      <c r="AQ249" s="22"/>
      <c r="AR249" s="22"/>
      <c r="AS249" s="22"/>
      <c r="AT249" s="22"/>
      <c r="AU249" s="22"/>
      <c r="AV249" s="22"/>
      <c r="AW249" s="109"/>
      <c r="AX249" s="22"/>
      <c r="AY249" s="140"/>
      <c r="AZ249" s="140"/>
      <c r="BA249" s="140"/>
      <c r="BB249" s="140"/>
      <c r="BC249" s="140"/>
      <c r="BD249" s="140"/>
      <c r="BE249" s="140"/>
      <c r="BF249" s="140"/>
      <c r="BG249" s="140"/>
      <c r="BH249" s="140"/>
      <c r="BI249" s="140"/>
      <c r="BJ249" s="140"/>
      <c r="BK249" s="140"/>
      <c r="BL249" s="140"/>
      <c r="BM249" s="140"/>
      <c r="BN249" s="140"/>
      <c r="BO249" s="140"/>
      <c r="BP249" s="140"/>
      <c r="BQ249" s="140"/>
      <c r="BR249" s="26"/>
    </row>
    <row r="250" spans="2:70" ht="22.2" thickBot="1" x14ac:dyDescent="0.5">
      <c r="B250" s="1" t="s">
        <v>225</v>
      </c>
      <c r="C250" s="2" t="s">
        <v>23</v>
      </c>
      <c r="D250" s="13"/>
      <c r="E250" s="3">
        <v>0</v>
      </c>
      <c r="F250" s="4">
        <f t="shared" si="396"/>
        <v>0</v>
      </c>
      <c r="G250" s="4">
        <f t="shared" si="397"/>
        <v>0</v>
      </c>
      <c r="H250" s="5">
        <f t="shared" si="398"/>
        <v>0</v>
      </c>
      <c r="I250" s="6">
        <v>15</v>
      </c>
      <c r="J250" s="86"/>
      <c r="K250" s="7"/>
      <c r="L250" s="11"/>
      <c r="M250" s="7"/>
      <c r="N250" s="9" t="s">
        <v>309</v>
      </c>
      <c r="W250" s="1" t="s">
        <v>225</v>
      </c>
      <c r="X250" s="50">
        <v>0</v>
      </c>
      <c r="Y250" s="48">
        <v>0</v>
      </c>
      <c r="Z250" s="49">
        <v>96</v>
      </c>
      <c r="AA250" s="49">
        <v>120</v>
      </c>
      <c r="AB250" s="49"/>
      <c r="AC250" s="22"/>
      <c r="AD250" s="22"/>
      <c r="AE250" s="22"/>
      <c r="AF250" s="22"/>
      <c r="AG250" s="22"/>
      <c r="AH250" s="22"/>
      <c r="AI250" s="22"/>
      <c r="AJ250" s="22"/>
      <c r="AK250" s="22"/>
      <c r="AL250" s="22"/>
      <c r="AM250" s="22"/>
      <c r="AN250" s="22"/>
      <c r="AO250" s="22"/>
      <c r="AP250" s="22"/>
      <c r="AQ250" s="22"/>
      <c r="AR250" s="22"/>
      <c r="AS250" s="22"/>
      <c r="AT250" s="22"/>
      <c r="AU250" s="22"/>
      <c r="AV250" s="22"/>
      <c r="AW250" s="109"/>
      <c r="AX250" s="22"/>
      <c r="AY250" s="140"/>
      <c r="AZ250" s="140"/>
      <c r="BA250" s="140"/>
      <c r="BB250" s="140"/>
      <c r="BC250" s="140"/>
      <c r="BD250" s="140"/>
      <c r="BE250" s="140"/>
      <c r="BF250" s="140"/>
      <c r="BG250" s="140"/>
      <c r="BH250" s="140"/>
      <c r="BI250" s="140"/>
      <c r="BJ250" s="140"/>
      <c r="BK250" s="140"/>
      <c r="BL250" s="140"/>
      <c r="BM250" s="140"/>
      <c r="BN250" s="140"/>
      <c r="BO250" s="140"/>
      <c r="BP250" s="140"/>
      <c r="BQ250" s="140"/>
      <c r="BR250" s="26"/>
    </row>
    <row r="251" spans="2:70" ht="22.2" thickBot="1" x14ac:dyDescent="0.5">
      <c r="B251" s="1" t="s">
        <v>229</v>
      </c>
      <c r="C251" s="2" t="s">
        <v>21</v>
      </c>
      <c r="D251" s="1"/>
      <c r="E251" s="3">
        <v>1</v>
      </c>
      <c r="F251" s="4">
        <f t="shared" si="396"/>
        <v>533.33000000000004</v>
      </c>
      <c r="G251" s="4">
        <f t="shared" si="397"/>
        <v>0</v>
      </c>
      <c r="H251" s="5">
        <f t="shared" si="398"/>
        <v>533.33000000000004</v>
      </c>
      <c r="I251" s="6">
        <v>14</v>
      </c>
      <c r="J251" s="86"/>
      <c r="K251" s="7"/>
      <c r="L251" s="11">
        <v>43937</v>
      </c>
      <c r="M251" s="7"/>
      <c r="N251" s="9" t="s">
        <v>309</v>
      </c>
      <c r="W251" s="1" t="s">
        <v>229</v>
      </c>
      <c r="X251" s="50">
        <v>684</v>
      </c>
      <c r="Y251" s="48">
        <v>0</v>
      </c>
      <c r="Z251" s="49">
        <v>0</v>
      </c>
      <c r="AA251" s="49">
        <v>96</v>
      </c>
      <c r="AB251" s="49"/>
      <c r="AC251" s="22"/>
      <c r="AD251" s="22"/>
      <c r="AE251" s="22"/>
      <c r="AF251" s="22"/>
      <c r="AG251" s="22"/>
      <c r="AH251" s="22"/>
      <c r="AI251" s="22"/>
      <c r="AJ251" s="22"/>
      <c r="AK251" s="22"/>
      <c r="AL251" s="22"/>
      <c r="AM251" s="22"/>
      <c r="AN251" s="22"/>
      <c r="AO251" s="22"/>
      <c r="AP251" s="22"/>
      <c r="AQ251" s="22"/>
      <c r="AR251" s="22"/>
      <c r="AS251" s="22"/>
      <c r="AT251" s="22"/>
      <c r="AU251" s="22"/>
      <c r="AV251" s="22"/>
      <c r="AW251" s="109"/>
      <c r="AX251" s="22"/>
      <c r="AY251" s="140"/>
      <c r="AZ251" s="140"/>
      <c r="BA251" s="140"/>
      <c r="BB251" s="140"/>
      <c r="BC251" s="140"/>
      <c r="BD251" s="140"/>
      <c r="BE251" s="140"/>
      <c r="BF251" s="140"/>
      <c r="BG251" s="140"/>
      <c r="BH251" s="140"/>
      <c r="BI251" s="140"/>
      <c r="BJ251" s="140"/>
      <c r="BK251" s="140"/>
      <c r="BL251" s="140"/>
      <c r="BM251" s="140"/>
      <c r="BN251" s="140"/>
      <c r="BO251" s="140"/>
      <c r="BP251" s="140"/>
      <c r="BQ251" s="140"/>
      <c r="BR251" s="26"/>
    </row>
    <row r="252" spans="2:70" ht="22.2" thickBot="1" x14ac:dyDescent="0.5">
      <c r="B252" s="1" t="s">
        <v>233</v>
      </c>
      <c r="C252" s="2" t="s">
        <v>21</v>
      </c>
      <c r="D252" s="10"/>
      <c r="E252" s="3">
        <v>3</v>
      </c>
      <c r="F252" s="4">
        <f t="shared" ref="F252:F257" si="399">+E252*$C$1</f>
        <v>1599.9900000000002</v>
      </c>
      <c r="G252" s="4">
        <f t="shared" ref="G252:G257" si="400">+BR252</f>
        <v>0</v>
      </c>
      <c r="H252" s="5">
        <f t="shared" ref="H252:H257" si="401">+F252+G252</f>
        <v>1599.9900000000002</v>
      </c>
      <c r="I252" s="6">
        <v>12</v>
      </c>
      <c r="J252" s="86"/>
      <c r="K252" s="7"/>
      <c r="L252" s="12">
        <v>44028</v>
      </c>
      <c r="M252" s="7"/>
      <c r="N252" s="9" t="s">
        <v>309</v>
      </c>
      <c r="W252" s="1" t="s">
        <v>233</v>
      </c>
      <c r="X252" s="50">
        <v>830</v>
      </c>
      <c r="Y252" s="48">
        <v>0</v>
      </c>
      <c r="Z252" s="49">
        <v>0</v>
      </c>
      <c r="AA252" s="49">
        <v>96</v>
      </c>
      <c r="AB252" s="49"/>
      <c r="AC252" s="22"/>
      <c r="AD252" s="22"/>
      <c r="AE252" s="22"/>
      <c r="AF252" s="22"/>
      <c r="AG252" s="22"/>
      <c r="AH252" s="22"/>
      <c r="AI252" s="22"/>
      <c r="AJ252" s="22"/>
      <c r="AK252" s="22"/>
      <c r="AL252" s="22"/>
      <c r="AM252" s="22"/>
      <c r="AN252" s="22"/>
      <c r="AO252" s="22"/>
      <c r="AP252" s="22"/>
      <c r="AQ252" s="22"/>
      <c r="AR252" s="22"/>
      <c r="AS252" s="22"/>
      <c r="AT252" s="22"/>
      <c r="AU252" s="22"/>
      <c r="AV252" s="22"/>
      <c r="AW252" s="109"/>
      <c r="AX252" s="22"/>
      <c r="AY252" s="140"/>
      <c r="AZ252" s="140"/>
      <c r="BA252" s="140"/>
      <c r="BB252" s="140"/>
      <c r="BC252" s="140"/>
      <c r="BD252" s="140"/>
      <c r="BE252" s="140"/>
      <c r="BF252" s="140"/>
      <c r="BG252" s="140"/>
      <c r="BH252" s="140"/>
      <c r="BI252" s="140"/>
      <c r="BJ252" s="140"/>
      <c r="BK252" s="140"/>
      <c r="BL252" s="140"/>
      <c r="BM252" s="140"/>
      <c r="BN252" s="140"/>
      <c r="BO252" s="140"/>
      <c r="BP252" s="140"/>
      <c r="BQ252" s="140"/>
      <c r="BR252" s="26"/>
    </row>
    <row r="253" spans="2:70" ht="22.2" thickBot="1" x14ac:dyDescent="0.5">
      <c r="B253" s="1" t="s">
        <v>46</v>
      </c>
      <c r="C253" s="2" t="s">
        <v>20</v>
      </c>
      <c r="D253" s="10" t="s">
        <v>128</v>
      </c>
      <c r="E253" s="3">
        <v>1</v>
      </c>
      <c r="F253" s="4">
        <f t="shared" si="399"/>
        <v>533.33000000000004</v>
      </c>
      <c r="G253" s="4">
        <f t="shared" si="400"/>
        <v>0</v>
      </c>
      <c r="H253" s="5">
        <f t="shared" si="401"/>
        <v>533.33000000000004</v>
      </c>
      <c r="I253" s="6">
        <v>14</v>
      </c>
      <c r="J253" s="86"/>
      <c r="K253" s="7"/>
      <c r="L253" s="20">
        <v>43485</v>
      </c>
      <c r="M253" s="7"/>
      <c r="N253" s="9" t="s">
        <v>309</v>
      </c>
      <c r="W253" s="10" t="s">
        <v>46</v>
      </c>
      <c r="X253" s="50">
        <v>0</v>
      </c>
      <c r="Y253" s="48">
        <v>150</v>
      </c>
      <c r="Z253" s="49">
        <v>150</v>
      </c>
      <c r="AA253" s="49">
        <v>150</v>
      </c>
      <c r="AB253" s="49"/>
      <c r="AC253" s="22"/>
      <c r="AD253" s="22"/>
      <c r="AE253" s="22"/>
      <c r="AF253" s="22"/>
      <c r="AG253" s="22"/>
      <c r="AH253" s="22"/>
      <c r="AI253" s="22"/>
      <c r="AJ253" s="22"/>
      <c r="AK253" s="22"/>
      <c r="AL253" s="22"/>
      <c r="AM253" s="22"/>
      <c r="AN253" s="22"/>
      <c r="AO253" s="22"/>
      <c r="AP253" s="22"/>
      <c r="AQ253" s="22"/>
      <c r="AR253" s="22"/>
      <c r="AS253" s="22"/>
      <c r="AT253" s="22"/>
      <c r="AU253" s="22"/>
      <c r="AV253" s="22"/>
      <c r="AW253" s="109"/>
      <c r="AX253" s="22"/>
      <c r="AY253" s="140"/>
      <c r="AZ253" s="140"/>
      <c r="BA253" s="140"/>
      <c r="BB253" s="140"/>
      <c r="BC253" s="140"/>
      <c r="BD253" s="140"/>
      <c r="BE253" s="140"/>
      <c r="BF253" s="140"/>
      <c r="BG253" s="140"/>
      <c r="BH253" s="140"/>
      <c r="BI253" s="140"/>
      <c r="BJ253" s="140"/>
      <c r="BK253" s="140"/>
      <c r="BL253" s="140"/>
      <c r="BM253" s="140"/>
      <c r="BN253" s="140"/>
      <c r="BO253" s="140"/>
      <c r="BP253" s="140"/>
      <c r="BQ253" s="140"/>
      <c r="BR253" s="26"/>
    </row>
    <row r="254" spans="2:70" ht="22.2" thickBot="1" x14ac:dyDescent="0.5">
      <c r="B254" s="1" t="s">
        <v>248</v>
      </c>
      <c r="C254" s="2" t="s">
        <v>20</v>
      </c>
      <c r="D254" s="13">
        <v>43026</v>
      </c>
      <c r="E254" s="3">
        <v>0</v>
      </c>
      <c r="F254" s="4">
        <f t="shared" si="399"/>
        <v>0</v>
      </c>
      <c r="G254" s="4">
        <f t="shared" si="400"/>
        <v>0</v>
      </c>
      <c r="H254" s="5">
        <f t="shared" si="401"/>
        <v>0</v>
      </c>
      <c r="I254" s="6">
        <v>15</v>
      </c>
      <c r="J254" s="86"/>
      <c r="K254" s="7"/>
      <c r="L254" s="12">
        <v>43756</v>
      </c>
      <c r="M254" s="7"/>
      <c r="N254" s="9" t="s">
        <v>309</v>
      </c>
      <c r="W254" s="1" t="s">
        <v>248</v>
      </c>
      <c r="X254" s="50">
        <v>0</v>
      </c>
      <c r="Y254" s="48">
        <v>0</v>
      </c>
      <c r="Z254" s="49">
        <v>0</v>
      </c>
      <c r="AA254" s="49">
        <v>108</v>
      </c>
      <c r="AB254" s="49"/>
      <c r="AC254" s="22"/>
      <c r="AD254" s="22"/>
      <c r="AE254" s="22"/>
      <c r="AF254" s="22"/>
      <c r="AG254" s="22"/>
      <c r="AH254" s="22"/>
      <c r="AI254" s="22"/>
      <c r="AJ254" s="22"/>
      <c r="AK254" s="22"/>
      <c r="AL254" s="22"/>
      <c r="AM254" s="22"/>
      <c r="AN254" s="22"/>
      <c r="AO254" s="22"/>
      <c r="AP254" s="22"/>
      <c r="AQ254" s="22"/>
      <c r="AR254" s="22"/>
      <c r="AS254" s="22"/>
      <c r="AT254" s="22"/>
      <c r="AU254" s="22"/>
      <c r="AV254" s="22"/>
      <c r="AW254" s="109"/>
      <c r="AX254" s="22"/>
      <c r="AY254" s="140"/>
      <c r="AZ254" s="140"/>
      <c r="BA254" s="140"/>
      <c r="BB254" s="140"/>
      <c r="BC254" s="140"/>
      <c r="BD254" s="140"/>
      <c r="BE254" s="140"/>
      <c r="BF254" s="140"/>
      <c r="BG254" s="140"/>
      <c r="BH254" s="140"/>
      <c r="BI254" s="140"/>
      <c r="BJ254" s="140"/>
      <c r="BK254" s="140"/>
      <c r="BL254" s="140"/>
      <c r="BM254" s="140"/>
      <c r="BN254" s="140"/>
      <c r="BO254" s="140"/>
      <c r="BP254" s="140"/>
      <c r="BQ254" s="140"/>
      <c r="BR254" s="26"/>
    </row>
    <row r="255" spans="2:70" ht="22.2" thickBot="1" x14ac:dyDescent="0.5">
      <c r="B255" s="1" t="s">
        <v>177</v>
      </c>
      <c r="C255" s="2" t="s">
        <v>23</v>
      </c>
      <c r="D255" s="13">
        <v>42133</v>
      </c>
      <c r="E255" s="3">
        <v>2</v>
      </c>
      <c r="F255" s="4">
        <f t="shared" si="399"/>
        <v>1066.6600000000001</v>
      </c>
      <c r="G255" s="4">
        <f t="shared" si="400"/>
        <v>0</v>
      </c>
      <c r="H255" s="5">
        <f t="shared" si="401"/>
        <v>1066.6600000000001</v>
      </c>
      <c r="I255" s="6">
        <v>14</v>
      </c>
      <c r="J255" s="86"/>
      <c r="K255" s="7"/>
      <c r="L255" s="17">
        <v>44013</v>
      </c>
      <c r="M255" s="7"/>
      <c r="N255" s="9" t="s">
        <v>309</v>
      </c>
      <c r="W255" s="1" t="s">
        <v>177</v>
      </c>
      <c r="X255" s="50">
        <v>0</v>
      </c>
      <c r="Y255" s="48">
        <v>96</v>
      </c>
      <c r="Z255" s="49">
        <v>96</v>
      </c>
      <c r="AA255" s="49">
        <v>120</v>
      </c>
      <c r="AB255" s="49"/>
      <c r="AC255" s="22"/>
      <c r="AD255" s="22"/>
      <c r="AE255" s="22"/>
      <c r="AF255" s="22"/>
      <c r="AG255" s="22"/>
      <c r="AH255" s="22"/>
      <c r="AI255" s="22"/>
      <c r="AJ255" s="22"/>
      <c r="AK255" s="22"/>
      <c r="AL255" s="22"/>
      <c r="AM255" s="22"/>
      <c r="AN255" s="22"/>
      <c r="AO255" s="22"/>
      <c r="AP255" s="22"/>
      <c r="AQ255" s="22"/>
      <c r="AR255" s="22"/>
      <c r="AS255" s="22"/>
      <c r="AT255" s="22"/>
      <c r="AU255" s="22"/>
      <c r="AV255" s="22"/>
      <c r="AW255" s="109"/>
      <c r="AX255" s="22"/>
      <c r="AY255" s="140"/>
      <c r="AZ255" s="140"/>
      <c r="BA255" s="140"/>
      <c r="BB255" s="140"/>
      <c r="BC255" s="140"/>
      <c r="BD255" s="140"/>
      <c r="BE255" s="140"/>
      <c r="BF255" s="140"/>
      <c r="BG255" s="140"/>
      <c r="BH255" s="140"/>
      <c r="BI255" s="140"/>
      <c r="BJ255" s="140"/>
      <c r="BK255" s="140"/>
      <c r="BL255" s="140"/>
      <c r="BM255" s="140"/>
      <c r="BN255" s="140"/>
      <c r="BO255" s="140"/>
      <c r="BP255" s="140"/>
      <c r="BQ255" s="140"/>
      <c r="BR255" s="26"/>
    </row>
    <row r="256" spans="2:70" ht="22.2" thickBot="1" x14ac:dyDescent="0.5">
      <c r="B256" s="1" t="s">
        <v>231</v>
      </c>
      <c r="C256" s="2" t="s">
        <v>21</v>
      </c>
      <c r="D256" s="13">
        <v>42856</v>
      </c>
      <c r="E256" s="3">
        <v>1</v>
      </c>
      <c r="F256" s="4">
        <f t="shared" si="399"/>
        <v>533.33000000000004</v>
      </c>
      <c r="G256" s="4">
        <f t="shared" si="400"/>
        <v>0</v>
      </c>
      <c r="H256" s="5">
        <f t="shared" si="401"/>
        <v>533.33000000000004</v>
      </c>
      <c r="I256" s="6">
        <v>15</v>
      </c>
      <c r="J256" s="86"/>
      <c r="K256" s="7"/>
      <c r="L256" s="11">
        <v>44317</v>
      </c>
      <c r="M256" s="7"/>
      <c r="N256" s="9" t="s">
        <v>309</v>
      </c>
      <c r="W256" s="1" t="s">
        <v>231</v>
      </c>
      <c r="X256" s="50">
        <v>0</v>
      </c>
      <c r="Y256" s="48">
        <v>0</v>
      </c>
      <c r="Z256" s="49">
        <v>0</v>
      </c>
      <c r="AA256" s="49">
        <v>150</v>
      </c>
      <c r="AB256" s="49">
        <v>150</v>
      </c>
      <c r="AC256" s="22">
        <v>185.5</v>
      </c>
      <c r="AD256" s="28">
        <f t="shared" ref="AD256:AD257" si="402">+AC256-AB256</f>
        <v>35.5</v>
      </c>
      <c r="AE256" s="22"/>
      <c r="AF256" s="22"/>
      <c r="AG256" s="22"/>
      <c r="AH256" s="22"/>
      <c r="AI256" s="22"/>
      <c r="AJ256" s="22"/>
      <c r="AK256" s="22"/>
      <c r="AL256" s="22"/>
      <c r="AM256" s="22"/>
      <c r="AN256" s="22"/>
      <c r="AO256" s="22"/>
      <c r="AP256" s="22"/>
      <c r="AQ256" s="22"/>
      <c r="AR256" s="22"/>
      <c r="AS256" s="22"/>
      <c r="AT256" s="22"/>
      <c r="AU256" s="22"/>
      <c r="AV256" s="22"/>
      <c r="AW256" s="109"/>
      <c r="AX256" s="22"/>
      <c r="AY256" s="140"/>
      <c r="AZ256" s="140"/>
      <c r="BA256" s="140"/>
      <c r="BB256" s="140"/>
      <c r="BC256" s="140"/>
      <c r="BD256" s="140"/>
      <c r="BE256" s="140"/>
      <c r="BF256" s="140"/>
      <c r="BG256" s="140"/>
      <c r="BH256" s="140"/>
      <c r="BI256" s="140"/>
      <c r="BJ256" s="140"/>
      <c r="BK256" s="140"/>
      <c r="BL256" s="140"/>
      <c r="BM256" s="140"/>
      <c r="BN256" s="140"/>
      <c r="BO256" s="140"/>
      <c r="BP256" s="140"/>
      <c r="BQ256" s="140"/>
      <c r="BR256" s="26"/>
    </row>
    <row r="257" spans="2:70" ht="22.2" thickBot="1" x14ac:dyDescent="0.5">
      <c r="B257" s="1" t="s">
        <v>260</v>
      </c>
      <c r="C257" s="2" t="s">
        <v>21</v>
      </c>
      <c r="D257" s="18">
        <v>43563</v>
      </c>
      <c r="E257" s="3">
        <v>0</v>
      </c>
      <c r="F257" s="4">
        <f t="shared" si="399"/>
        <v>0</v>
      </c>
      <c r="G257" s="4">
        <f t="shared" si="400"/>
        <v>0</v>
      </c>
      <c r="H257" s="5">
        <f t="shared" si="401"/>
        <v>0</v>
      </c>
      <c r="I257" s="6">
        <v>15</v>
      </c>
      <c r="J257" s="86"/>
      <c r="K257" s="7"/>
      <c r="L257" s="20">
        <v>44294</v>
      </c>
      <c r="M257" s="7"/>
      <c r="N257" s="9" t="s">
        <v>309</v>
      </c>
      <c r="W257" s="1" t="s">
        <v>260</v>
      </c>
      <c r="X257" s="50">
        <v>0</v>
      </c>
      <c r="Y257" s="48">
        <v>0</v>
      </c>
      <c r="Z257" s="49">
        <v>0</v>
      </c>
      <c r="AA257" s="49">
        <v>0</v>
      </c>
      <c r="AB257" s="49">
        <v>0</v>
      </c>
      <c r="AC257" s="22">
        <v>0</v>
      </c>
      <c r="AD257" s="28">
        <f t="shared" si="402"/>
        <v>0</v>
      </c>
      <c r="AE257" s="22"/>
      <c r="AF257" s="22"/>
      <c r="AG257" s="22"/>
      <c r="AH257" s="22"/>
      <c r="AI257" s="22"/>
      <c r="AJ257" s="22"/>
      <c r="AK257" s="22"/>
      <c r="AL257" s="22"/>
      <c r="AM257" s="22"/>
      <c r="AN257" s="22"/>
      <c r="AO257" s="22"/>
      <c r="AP257" s="22"/>
      <c r="AQ257" s="22"/>
      <c r="AR257" s="22"/>
      <c r="AS257" s="22"/>
      <c r="AT257" s="22"/>
      <c r="AU257" s="22"/>
      <c r="AV257" s="22"/>
      <c r="AW257" s="109"/>
      <c r="AX257" s="22"/>
      <c r="AY257" s="140"/>
      <c r="AZ257" s="140"/>
      <c r="BA257" s="140"/>
      <c r="BB257" s="140"/>
      <c r="BC257" s="140"/>
      <c r="BD257" s="140"/>
      <c r="BE257" s="140"/>
      <c r="BF257" s="140"/>
      <c r="BG257" s="140"/>
      <c r="BH257" s="140"/>
      <c r="BI257" s="140"/>
      <c r="BJ257" s="140"/>
      <c r="BK257" s="140"/>
      <c r="BL257" s="140"/>
      <c r="BM257" s="140"/>
      <c r="BN257" s="140"/>
      <c r="BO257" s="140"/>
      <c r="BP257" s="140"/>
      <c r="BQ257" s="140"/>
      <c r="BR257" s="26"/>
    </row>
    <row r="258" spans="2:70" ht="22.2" thickBot="1" x14ac:dyDescent="0.5">
      <c r="B258" s="1" t="s">
        <v>173</v>
      </c>
      <c r="C258" s="2" t="s">
        <v>21</v>
      </c>
      <c r="D258" s="18">
        <v>42514</v>
      </c>
      <c r="E258" s="3">
        <v>1</v>
      </c>
      <c r="F258" s="4">
        <f t="shared" ref="F258:F263" si="403">+E258*$C$1</f>
        <v>533.33000000000004</v>
      </c>
      <c r="G258" s="4">
        <f t="shared" ref="G258:G263" si="404">+BR258</f>
        <v>0</v>
      </c>
      <c r="H258" s="5">
        <f t="shared" ref="H258:H263" si="405">+F258+G258</f>
        <v>533.33000000000004</v>
      </c>
      <c r="I258" s="6">
        <v>15</v>
      </c>
      <c r="J258" s="86"/>
      <c r="K258" s="7"/>
      <c r="L258" s="12">
        <v>43975</v>
      </c>
      <c r="M258" s="7"/>
      <c r="N258" s="9" t="s">
        <v>309</v>
      </c>
      <c r="W258" s="1" t="s">
        <v>173</v>
      </c>
      <c r="X258" s="50">
        <v>0</v>
      </c>
      <c r="Y258" s="48">
        <v>0</v>
      </c>
      <c r="Z258" s="49">
        <v>150</v>
      </c>
      <c r="AA258" s="49">
        <v>150</v>
      </c>
      <c r="AB258" s="49"/>
      <c r="AC258" s="22"/>
      <c r="AD258" s="22"/>
      <c r="AE258" s="22"/>
      <c r="AF258" s="22"/>
      <c r="AG258" s="22"/>
      <c r="AH258" s="22"/>
      <c r="AI258" s="22"/>
      <c r="AJ258" s="22"/>
      <c r="AK258" s="22"/>
      <c r="AL258" s="22"/>
      <c r="AM258" s="22"/>
      <c r="AN258" s="22"/>
      <c r="AO258" s="22"/>
      <c r="AP258" s="22"/>
      <c r="AQ258" s="22"/>
      <c r="AR258" s="22"/>
      <c r="AS258" s="22"/>
      <c r="AT258" s="22"/>
      <c r="AU258" s="22"/>
      <c r="AV258" s="22"/>
      <c r="AW258" s="109"/>
      <c r="AX258" s="22"/>
      <c r="AY258" s="140"/>
      <c r="AZ258" s="140"/>
      <c r="BA258" s="140"/>
      <c r="BB258" s="140"/>
      <c r="BC258" s="140"/>
      <c r="BD258" s="140"/>
      <c r="BE258" s="140"/>
      <c r="BF258" s="140"/>
      <c r="BG258" s="140"/>
      <c r="BH258" s="140"/>
      <c r="BI258" s="140"/>
      <c r="BJ258" s="140"/>
      <c r="BK258" s="140"/>
      <c r="BL258" s="140"/>
      <c r="BM258" s="140"/>
      <c r="BN258" s="140"/>
      <c r="BO258" s="140"/>
      <c r="BP258" s="140"/>
      <c r="BQ258" s="140"/>
      <c r="BR258" s="26"/>
    </row>
    <row r="259" spans="2:70" ht="22.2" thickBot="1" x14ac:dyDescent="0.5">
      <c r="B259" s="1" t="s">
        <v>264</v>
      </c>
      <c r="C259" s="2" t="s">
        <v>19</v>
      </c>
      <c r="D259" s="18">
        <v>43586</v>
      </c>
      <c r="E259" s="3">
        <v>0</v>
      </c>
      <c r="F259" s="4">
        <f t="shared" si="403"/>
        <v>0</v>
      </c>
      <c r="G259" s="4">
        <f t="shared" si="404"/>
        <v>0</v>
      </c>
      <c r="H259" s="5">
        <f t="shared" si="405"/>
        <v>0</v>
      </c>
      <c r="I259" s="6">
        <v>15</v>
      </c>
      <c r="J259" s="86"/>
      <c r="K259" s="7"/>
      <c r="L259" s="12">
        <v>44317</v>
      </c>
      <c r="M259" s="7"/>
      <c r="N259" s="9" t="s">
        <v>309</v>
      </c>
      <c r="W259" s="1" t="s">
        <v>264</v>
      </c>
      <c r="X259" s="50">
        <v>0</v>
      </c>
      <c r="Y259" s="48">
        <v>0</v>
      </c>
      <c r="Z259" s="49">
        <v>0</v>
      </c>
      <c r="AA259" s="49">
        <v>0</v>
      </c>
      <c r="AB259" s="49">
        <v>0</v>
      </c>
      <c r="AC259" s="31">
        <v>0</v>
      </c>
      <c r="AD259" s="28">
        <f>+AC259-AB259</f>
        <v>0</v>
      </c>
      <c r="AE259" s="22"/>
      <c r="AF259" s="22"/>
      <c r="AG259" s="22"/>
      <c r="AH259" s="22"/>
      <c r="AI259" s="22"/>
      <c r="AJ259" s="22"/>
      <c r="AK259" s="22"/>
      <c r="AL259" s="22"/>
      <c r="AM259" s="22"/>
      <c r="AN259" s="22"/>
      <c r="AO259" s="22"/>
      <c r="AP259" s="22"/>
      <c r="AQ259" s="22"/>
      <c r="AR259" s="22"/>
      <c r="AS259" s="22"/>
      <c r="AT259" s="22"/>
      <c r="AU259" s="22"/>
      <c r="AV259" s="22"/>
      <c r="AW259" s="109"/>
      <c r="AX259" s="22"/>
      <c r="AY259" s="140"/>
      <c r="AZ259" s="140"/>
      <c r="BA259" s="140"/>
      <c r="BB259" s="140"/>
      <c r="BC259" s="140"/>
      <c r="BD259" s="140"/>
      <c r="BE259" s="140"/>
      <c r="BF259" s="140"/>
      <c r="BG259" s="140"/>
      <c r="BH259" s="140"/>
      <c r="BI259" s="140"/>
      <c r="BJ259" s="140"/>
      <c r="BK259" s="140"/>
      <c r="BL259" s="140"/>
      <c r="BM259" s="140"/>
      <c r="BN259" s="140"/>
      <c r="BO259" s="140"/>
      <c r="BP259" s="140"/>
      <c r="BQ259" s="140"/>
      <c r="BR259" s="26"/>
    </row>
    <row r="260" spans="2:70" ht="22.2" thickBot="1" x14ac:dyDescent="0.5">
      <c r="B260" s="1" t="s">
        <v>245</v>
      </c>
      <c r="C260" s="2" t="s">
        <v>21</v>
      </c>
      <c r="D260" s="18">
        <v>43009</v>
      </c>
      <c r="E260" s="3">
        <v>0</v>
      </c>
      <c r="F260" s="4">
        <f t="shared" si="403"/>
        <v>0</v>
      </c>
      <c r="G260" s="4">
        <f t="shared" si="404"/>
        <v>0</v>
      </c>
      <c r="H260" s="5">
        <f t="shared" si="405"/>
        <v>0</v>
      </c>
      <c r="I260" s="6">
        <v>15</v>
      </c>
      <c r="J260" s="86"/>
      <c r="K260" s="7"/>
      <c r="L260" s="12">
        <v>43739</v>
      </c>
      <c r="M260" s="7"/>
      <c r="N260" s="9" t="s">
        <v>309</v>
      </c>
      <c r="W260" s="1" t="s">
        <v>245</v>
      </c>
      <c r="X260" s="50">
        <v>0</v>
      </c>
      <c r="Y260" s="48">
        <v>0</v>
      </c>
      <c r="Z260" s="49">
        <v>0</v>
      </c>
      <c r="AA260" s="49">
        <v>96</v>
      </c>
      <c r="AB260" s="49">
        <v>0</v>
      </c>
      <c r="AC260" s="31">
        <v>0</v>
      </c>
      <c r="AD260" s="28">
        <f>+AC260-AB260</f>
        <v>0</v>
      </c>
      <c r="AE260" s="22"/>
      <c r="AF260" s="22"/>
      <c r="AG260" s="22"/>
      <c r="AH260" s="22"/>
      <c r="AI260" s="22"/>
      <c r="AJ260" s="22"/>
      <c r="AK260" s="22"/>
      <c r="AL260" s="22"/>
      <c r="AM260" s="22"/>
      <c r="AN260" s="22"/>
      <c r="AO260" s="22"/>
      <c r="AP260" s="22"/>
      <c r="AQ260" s="22"/>
      <c r="AR260" s="22"/>
      <c r="AS260" s="22"/>
      <c r="AT260" s="22"/>
      <c r="AU260" s="22"/>
      <c r="AV260" s="22"/>
      <c r="AW260" s="109"/>
      <c r="AX260" s="22"/>
      <c r="AY260" s="140"/>
      <c r="AZ260" s="140"/>
      <c r="BA260" s="140"/>
      <c r="BB260" s="140"/>
      <c r="BC260" s="140"/>
      <c r="BD260" s="140"/>
      <c r="BE260" s="140"/>
      <c r="BF260" s="140"/>
      <c r="BG260" s="140"/>
      <c r="BH260" s="140"/>
      <c r="BI260" s="140"/>
      <c r="BJ260" s="140"/>
      <c r="BK260" s="140"/>
      <c r="BL260" s="140"/>
      <c r="BM260" s="140"/>
      <c r="BN260" s="140"/>
      <c r="BO260" s="140"/>
      <c r="BP260" s="140"/>
      <c r="BQ260" s="140"/>
      <c r="BR260" s="26"/>
    </row>
    <row r="261" spans="2:70" ht="22.2" thickBot="1" x14ac:dyDescent="0.5">
      <c r="B261" s="1" t="s">
        <v>82</v>
      </c>
      <c r="C261" s="2" t="s">
        <v>21</v>
      </c>
      <c r="D261" s="10" t="s">
        <v>155</v>
      </c>
      <c r="E261" s="3">
        <v>2</v>
      </c>
      <c r="F261" s="4">
        <f t="shared" si="403"/>
        <v>1066.6600000000001</v>
      </c>
      <c r="G261" s="4">
        <f t="shared" si="404"/>
        <v>0</v>
      </c>
      <c r="H261" s="5">
        <f t="shared" si="405"/>
        <v>1066.6600000000001</v>
      </c>
      <c r="I261" s="6">
        <v>13</v>
      </c>
      <c r="J261" s="86"/>
      <c r="K261" s="7"/>
      <c r="L261" s="12">
        <v>43922</v>
      </c>
      <c r="M261" s="7"/>
      <c r="N261" s="9" t="s">
        <v>309</v>
      </c>
      <c r="W261" s="10" t="s">
        <v>82</v>
      </c>
      <c r="X261" s="50">
        <v>150</v>
      </c>
      <c r="Y261" s="48">
        <v>150</v>
      </c>
      <c r="Z261" s="49">
        <v>96</v>
      </c>
      <c r="AA261" s="49">
        <v>150</v>
      </c>
      <c r="AB261" s="49">
        <v>150</v>
      </c>
      <c r="AC261" s="31"/>
      <c r="AD261" s="28">
        <v>66</v>
      </c>
      <c r="AE261" s="22"/>
      <c r="AF261" s="22"/>
      <c r="AG261" s="22"/>
      <c r="AH261" s="22"/>
      <c r="AI261" s="22"/>
      <c r="AJ261" s="22"/>
      <c r="AK261" s="22"/>
      <c r="AL261" s="22"/>
      <c r="AM261" s="22"/>
      <c r="AN261" s="22"/>
      <c r="AO261" s="22"/>
      <c r="AP261" s="22"/>
      <c r="AQ261" s="22"/>
      <c r="AR261" s="22"/>
      <c r="AS261" s="22"/>
      <c r="AT261" s="22"/>
      <c r="AU261" s="22"/>
      <c r="AV261" s="22"/>
      <c r="AW261" s="109"/>
      <c r="AX261" s="22"/>
      <c r="AY261" s="140"/>
      <c r="AZ261" s="140"/>
      <c r="BA261" s="140"/>
      <c r="BB261" s="140"/>
      <c r="BC261" s="140"/>
      <c r="BD261" s="140"/>
      <c r="BE261" s="140"/>
      <c r="BF261" s="140"/>
      <c r="BG261" s="140"/>
      <c r="BH261" s="140"/>
      <c r="BI261" s="140"/>
      <c r="BJ261" s="140"/>
      <c r="BK261" s="140"/>
      <c r="BL261" s="140"/>
      <c r="BM261" s="140"/>
      <c r="BN261" s="140"/>
      <c r="BO261" s="140"/>
      <c r="BP261" s="140"/>
      <c r="BQ261" s="140"/>
      <c r="BR261" s="26"/>
    </row>
    <row r="262" spans="2:70" ht="22.2" thickBot="1" x14ac:dyDescent="0.5">
      <c r="B262" s="1" t="s">
        <v>94</v>
      </c>
      <c r="C262" s="2" t="s">
        <v>21</v>
      </c>
      <c r="D262" s="1"/>
      <c r="E262" s="3">
        <v>9</v>
      </c>
      <c r="F262" s="4">
        <f t="shared" si="403"/>
        <v>4799.97</v>
      </c>
      <c r="G262" s="4">
        <f t="shared" si="404"/>
        <v>0</v>
      </c>
      <c r="H262" s="5">
        <f t="shared" si="405"/>
        <v>4799.97</v>
      </c>
      <c r="I262" s="6">
        <v>7</v>
      </c>
      <c r="J262" s="86"/>
      <c r="K262" s="7"/>
      <c r="L262" s="11">
        <v>43862</v>
      </c>
      <c r="M262" s="7"/>
      <c r="N262" s="9" t="s">
        <v>309</v>
      </c>
      <c r="W262" s="1" t="s">
        <v>94</v>
      </c>
      <c r="X262" s="50">
        <v>1800</v>
      </c>
      <c r="Y262" s="48">
        <v>96</v>
      </c>
      <c r="Z262" s="49">
        <v>96</v>
      </c>
      <c r="AA262" s="49">
        <v>96</v>
      </c>
      <c r="AB262" s="49">
        <v>0</v>
      </c>
      <c r="AC262" s="31">
        <v>0</v>
      </c>
      <c r="AD262" s="28">
        <f>+AC262-AB262</f>
        <v>0</v>
      </c>
      <c r="AE262" s="22"/>
      <c r="AF262" s="22"/>
      <c r="AG262" s="22"/>
      <c r="AH262" s="22"/>
      <c r="AI262" s="22"/>
      <c r="AJ262" s="22"/>
      <c r="AK262" s="22"/>
      <c r="AL262" s="22"/>
      <c r="AM262" s="22"/>
      <c r="AN262" s="22"/>
      <c r="AO262" s="22"/>
      <c r="AP262" s="22"/>
      <c r="AQ262" s="22"/>
      <c r="AR262" s="22"/>
      <c r="AS262" s="22"/>
      <c r="AT262" s="22"/>
      <c r="AU262" s="22"/>
      <c r="AV262" s="22"/>
      <c r="AW262" s="109"/>
      <c r="AX262" s="22"/>
      <c r="AY262" s="140"/>
      <c r="AZ262" s="140"/>
      <c r="BA262" s="140"/>
      <c r="BB262" s="140"/>
      <c r="BC262" s="140"/>
      <c r="BD262" s="140"/>
      <c r="BE262" s="140"/>
      <c r="BF262" s="140"/>
      <c r="BG262" s="140"/>
      <c r="BH262" s="140"/>
      <c r="BI262" s="140"/>
      <c r="BJ262" s="140"/>
      <c r="BK262" s="140"/>
      <c r="BL262" s="140"/>
      <c r="BM262" s="140"/>
      <c r="BN262" s="140"/>
      <c r="BO262" s="140"/>
      <c r="BP262" s="140"/>
      <c r="BQ262" s="140"/>
      <c r="BR262" s="26"/>
    </row>
    <row r="263" spans="2:70" ht="22.2" thickBot="1" x14ac:dyDescent="0.5">
      <c r="B263" s="1" t="s">
        <v>284</v>
      </c>
      <c r="C263" s="2" t="s">
        <v>21</v>
      </c>
      <c r="D263" s="13">
        <v>43556</v>
      </c>
      <c r="E263" s="3">
        <v>0</v>
      </c>
      <c r="F263" s="4">
        <f t="shared" si="403"/>
        <v>0</v>
      </c>
      <c r="G263" s="4">
        <f t="shared" si="404"/>
        <v>0</v>
      </c>
      <c r="H263" s="42">
        <f t="shared" si="405"/>
        <v>0</v>
      </c>
      <c r="I263" s="6">
        <v>15</v>
      </c>
      <c r="J263" s="86"/>
      <c r="K263" s="7"/>
      <c r="L263" s="41">
        <v>44287</v>
      </c>
      <c r="M263" s="37"/>
      <c r="N263" s="9" t="s">
        <v>309</v>
      </c>
      <c r="W263" s="1" t="s">
        <v>284</v>
      </c>
      <c r="X263" s="50">
        <v>0</v>
      </c>
      <c r="Y263" s="48">
        <v>0</v>
      </c>
      <c r="Z263" s="49">
        <v>0</v>
      </c>
      <c r="AA263" s="49">
        <v>0</v>
      </c>
      <c r="AB263" s="49">
        <v>0</v>
      </c>
      <c r="AC263" s="31">
        <v>0</v>
      </c>
      <c r="AD263" s="28">
        <f>+AC263-AB263</f>
        <v>0</v>
      </c>
      <c r="AE263" s="52"/>
      <c r="AF263" s="52"/>
      <c r="AG263" s="49"/>
      <c r="AH263" s="28">
        <f>+(AD263+AE263)-AG263</f>
        <v>0</v>
      </c>
      <c r="AI263" s="22"/>
      <c r="AJ263" s="22"/>
      <c r="AK263" s="22"/>
      <c r="AL263" s="22"/>
      <c r="AM263" s="22"/>
      <c r="AN263" s="22"/>
      <c r="AO263" s="22"/>
      <c r="AP263" s="22"/>
      <c r="AQ263" s="22"/>
      <c r="AR263" s="22"/>
      <c r="AS263" s="22"/>
      <c r="AT263" s="22"/>
      <c r="AU263" s="22"/>
      <c r="AV263" s="22"/>
      <c r="AW263" s="109"/>
      <c r="AX263" s="22"/>
      <c r="AY263" s="140"/>
      <c r="AZ263" s="140"/>
      <c r="BA263" s="140"/>
      <c r="BB263" s="140"/>
      <c r="BC263" s="140"/>
      <c r="BD263" s="140"/>
      <c r="BE263" s="140"/>
      <c r="BF263" s="140"/>
      <c r="BG263" s="140"/>
      <c r="BH263" s="140"/>
      <c r="BI263" s="140"/>
      <c r="BJ263" s="140"/>
      <c r="BK263" s="140"/>
      <c r="BL263" s="140"/>
      <c r="BM263" s="140"/>
      <c r="BN263" s="140"/>
      <c r="BO263" s="140"/>
      <c r="BP263" s="140"/>
      <c r="BQ263" s="140"/>
      <c r="BR263" s="26"/>
    </row>
    <row r="264" spans="2:70" ht="22.2" thickBot="1" x14ac:dyDescent="0.5">
      <c r="B264" s="1" t="s">
        <v>56</v>
      </c>
      <c r="C264" s="2" t="s">
        <v>20</v>
      </c>
      <c r="D264" s="1" t="s">
        <v>133</v>
      </c>
      <c r="E264" s="3">
        <v>3</v>
      </c>
      <c r="F264" s="4">
        <f>+E264*$C$1</f>
        <v>1599.9900000000002</v>
      </c>
      <c r="G264" s="4">
        <f>+BR264</f>
        <v>0</v>
      </c>
      <c r="H264" s="42">
        <f>+F264+G264</f>
        <v>1599.9900000000002</v>
      </c>
      <c r="I264" s="6">
        <v>12</v>
      </c>
      <c r="J264" s="86"/>
      <c r="K264" s="55"/>
      <c r="L264" s="41">
        <v>43889</v>
      </c>
      <c r="M264" s="37"/>
      <c r="N264" s="9" t="s">
        <v>309</v>
      </c>
      <c r="W264" s="1" t="s">
        <v>56</v>
      </c>
      <c r="X264" s="50">
        <v>450</v>
      </c>
      <c r="Y264" s="48">
        <v>96</v>
      </c>
      <c r="Z264" s="49">
        <v>96</v>
      </c>
      <c r="AA264" s="49">
        <v>150</v>
      </c>
      <c r="AB264" s="49">
        <v>150</v>
      </c>
      <c r="AC264" s="31">
        <v>396</v>
      </c>
      <c r="AD264" s="28">
        <f>+AC264-AB264</f>
        <v>246</v>
      </c>
      <c r="AE264" s="52"/>
      <c r="AF264" s="52"/>
      <c r="AG264" s="49"/>
      <c r="AH264" s="28">
        <f>+(AD264+AE264)-AG264</f>
        <v>246</v>
      </c>
      <c r="AI264" s="22"/>
      <c r="AJ264" s="22"/>
      <c r="AK264" s="22"/>
      <c r="AL264" s="22"/>
      <c r="AM264" s="22"/>
      <c r="AN264" s="22"/>
      <c r="AO264" s="22"/>
      <c r="AP264" s="22"/>
      <c r="AQ264" s="22"/>
      <c r="AR264" s="22"/>
      <c r="AS264" s="22"/>
      <c r="AT264" s="22"/>
      <c r="AU264" s="22"/>
      <c r="AV264" s="22"/>
      <c r="AW264" s="109"/>
      <c r="AX264" s="22"/>
      <c r="AY264" s="140"/>
      <c r="AZ264" s="140"/>
      <c r="BA264" s="140"/>
      <c r="BB264" s="140"/>
      <c r="BC264" s="140"/>
      <c r="BD264" s="140"/>
      <c r="BE264" s="140"/>
      <c r="BF264" s="140"/>
      <c r="BG264" s="140"/>
      <c r="BH264" s="140"/>
      <c r="BI264" s="140"/>
      <c r="BJ264" s="140"/>
      <c r="BK264" s="140"/>
      <c r="BL264" s="140"/>
      <c r="BM264" s="140"/>
      <c r="BN264" s="140"/>
      <c r="BO264" s="140"/>
      <c r="BP264" s="140"/>
      <c r="BQ264" s="140"/>
      <c r="BR264" s="26"/>
    </row>
    <row r="265" spans="2:70" ht="22.2" thickBot="1" x14ac:dyDescent="0.5">
      <c r="B265" s="1" t="s">
        <v>267</v>
      </c>
      <c r="C265" s="2" t="s">
        <v>20</v>
      </c>
      <c r="D265" s="18">
        <v>43598</v>
      </c>
      <c r="E265" s="3">
        <v>2</v>
      </c>
      <c r="F265" s="4">
        <f>+E265*$C$1</f>
        <v>1066.6600000000001</v>
      </c>
      <c r="G265" s="4">
        <f>+BR265</f>
        <v>0</v>
      </c>
      <c r="H265" s="42">
        <f>+F265+G265</f>
        <v>1066.6600000000001</v>
      </c>
      <c r="I265" s="6">
        <v>14</v>
      </c>
      <c r="J265" s="86"/>
      <c r="K265" s="7"/>
      <c r="L265" s="39">
        <v>44348</v>
      </c>
      <c r="M265" s="37"/>
      <c r="N265" s="9" t="s">
        <v>309</v>
      </c>
      <c r="W265" s="1" t="s">
        <v>267</v>
      </c>
      <c r="X265" s="50">
        <v>326</v>
      </c>
      <c r="Y265" s="48">
        <v>0</v>
      </c>
      <c r="Z265" s="49">
        <v>0</v>
      </c>
      <c r="AA265" s="49">
        <v>0</v>
      </c>
      <c r="AB265" s="49">
        <v>78</v>
      </c>
      <c r="AC265" s="31">
        <v>78</v>
      </c>
      <c r="AD265" s="28">
        <f>+AC265-AB265</f>
        <v>0</v>
      </c>
      <c r="AE265" s="52"/>
      <c r="AF265" s="52"/>
      <c r="AG265" s="49"/>
      <c r="AH265" s="28">
        <f>+(AD265+AE265)-AG265</f>
        <v>0</v>
      </c>
      <c r="AI265" s="22"/>
      <c r="AJ265" s="22"/>
      <c r="AK265" s="22"/>
      <c r="AL265" s="22"/>
      <c r="AM265" s="22"/>
      <c r="AN265" s="22"/>
      <c r="AO265" s="22"/>
      <c r="AP265" s="22"/>
      <c r="AQ265" s="22"/>
      <c r="AR265" s="22"/>
      <c r="AS265" s="22"/>
      <c r="AT265" s="22"/>
      <c r="AU265" s="22"/>
      <c r="AV265" s="22"/>
      <c r="AW265" s="109"/>
      <c r="AX265" s="22"/>
      <c r="AY265" s="140"/>
      <c r="AZ265" s="140"/>
      <c r="BA265" s="140"/>
      <c r="BB265" s="140"/>
      <c r="BC265" s="140"/>
      <c r="BD265" s="140"/>
      <c r="BE265" s="140"/>
      <c r="BF265" s="140"/>
      <c r="BG265" s="140"/>
      <c r="BH265" s="140"/>
      <c r="BI265" s="140"/>
      <c r="BJ265" s="140"/>
      <c r="BK265" s="140"/>
      <c r="BL265" s="140"/>
      <c r="BM265" s="140"/>
      <c r="BN265" s="140"/>
      <c r="BO265" s="140"/>
      <c r="BP265" s="140"/>
      <c r="BQ265" s="140"/>
      <c r="BR265" s="26"/>
    </row>
    <row r="266" spans="2:70" ht="22.2" thickBot="1" x14ac:dyDescent="0.5">
      <c r="B266" s="1" t="s">
        <v>288</v>
      </c>
      <c r="C266" s="2" t="s">
        <v>21</v>
      </c>
      <c r="D266" s="13">
        <v>43617</v>
      </c>
      <c r="E266" s="3">
        <v>0</v>
      </c>
      <c r="F266" s="4">
        <f>+E266*$C$1</f>
        <v>0</v>
      </c>
      <c r="G266" s="4">
        <f>+BR266</f>
        <v>0</v>
      </c>
      <c r="H266" s="42">
        <f>+F266+G266</f>
        <v>0</v>
      </c>
      <c r="I266" s="6">
        <v>15</v>
      </c>
      <c r="J266" s="86"/>
      <c r="K266" s="7"/>
      <c r="L266" s="41">
        <v>44348</v>
      </c>
      <c r="M266" s="37"/>
      <c r="N266" s="9" t="s">
        <v>309</v>
      </c>
      <c r="W266" s="1" t="s">
        <v>288</v>
      </c>
      <c r="X266" s="50">
        <v>0</v>
      </c>
      <c r="Y266" s="48">
        <v>0</v>
      </c>
      <c r="Z266" s="49">
        <v>0</v>
      </c>
      <c r="AA266" s="49">
        <v>0</v>
      </c>
      <c r="AB266" s="49">
        <v>150</v>
      </c>
      <c r="AC266" s="31">
        <v>234</v>
      </c>
      <c r="AD266" s="28">
        <f>+AC266-AB266</f>
        <v>84</v>
      </c>
      <c r="AE266" s="52">
        <v>0</v>
      </c>
      <c r="AF266" s="52"/>
      <c r="AG266" s="49"/>
      <c r="AH266" s="28">
        <f>+(AD266+AE266)-AG266</f>
        <v>84</v>
      </c>
      <c r="AI266" s="22"/>
      <c r="AJ266" s="22"/>
      <c r="AK266" s="22"/>
      <c r="AL266" s="22"/>
      <c r="AM266" s="22"/>
      <c r="AN266" s="22"/>
      <c r="AO266" s="22"/>
      <c r="AP266" s="22"/>
      <c r="AQ266" s="22"/>
      <c r="AR266" s="22"/>
      <c r="AS266" s="22"/>
      <c r="AT266" s="22"/>
      <c r="AU266" s="22"/>
      <c r="AV266" s="22"/>
      <c r="AW266" s="109"/>
      <c r="AX266" s="22"/>
      <c r="AY266" s="140"/>
      <c r="AZ266" s="140"/>
      <c r="BA266" s="140"/>
      <c r="BB266" s="140"/>
      <c r="BC266" s="140"/>
      <c r="BD266" s="140"/>
      <c r="BE266" s="140"/>
      <c r="BF266" s="140"/>
      <c r="BG266" s="140"/>
      <c r="BH266" s="140"/>
      <c r="BI266" s="140"/>
      <c r="BJ266" s="140"/>
      <c r="BK266" s="140"/>
      <c r="BL266" s="140"/>
      <c r="BM266" s="140"/>
      <c r="BN266" s="140"/>
      <c r="BO266" s="140"/>
      <c r="BP266" s="140"/>
      <c r="BQ266" s="140"/>
      <c r="BR266" s="26"/>
    </row>
    <row r="267" spans="2:70" ht="22.2" thickBot="1" x14ac:dyDescent="0.5">
      <c r="B267" s="1" t="s">
        <v>62</v>
      </c>
      <c r="C267" s="2" t="s">
        <v>20</v>
      </c>
      <c r="D267" s="1" t="s">
        <v>138</v>
      </c>
      <c r="E267" s="3">
        <v>15</v>
      </c>
      <c r="F267" s="4">
        <f t="shared" ref="F267" si="406">+E267*$C$1</f>
        <v>7999.9500000000007</v>
      </c>
      <c r="G267" s="4">
        <f t="shared" ref="G267" si="407">+BR267</f>
        <v>0</v>
      </c>
      <c r="H267" s="42">
        <f t="shared" ref="H267" si="408">+F267+G267</f>
        <v>7999.9500000000007</v>
      </c>
      <c r="I267" s="6">
        <v>4</v>
      </c>
      <c r="J267" s="86"/>
      <c r="K267" s="7"/>
      <c r="L267" s="40"/>
      <c r="M267" s="37"/>
      <c r="N267" s="9" t="s">
        <v>309</v>
      </c>
      <c r="W267" s="1" t="s">
        <v>62</v>
      </c>
      <c r="X267" s="50">
        <v>984</v>
      </c>
      <c r="Y267" s="48">
        <v>150</v>
      </c>
      <c r="Z267" s="49">
        <v>150</v>
      </c>
      <c r="AA267" s="49">
        <v>96</v>
      </c>
      <c r="AB267" s="49">
        <v>0</v>
      </c>
      <c r="AC267" s="31">
        <v>0</v>
      </c>
      <c r="AD267" s="28">
        <f t="shared" ref="AD267" si="409">+AC267-AB267</f>
        <v>0</v>
      </c>
      <c r="AE267" s="52">
        <v>0</v>
      </c>
      <c r="AF267" s="52"/>
      <c r="AG267" s="49">
        <v>0</v>
      </c>
      <c r="AH267" s="28">
        <f t="shared" ref="AH267" si="410">+(AD267+AE267)-AG267</f>
        <v>0</v>
      </c>
      <c r="AI267" s="22"/>
      <c r="AJ267" s="22"/>
      <c r="AK267" s="22"/>
      <c r="AL267" s="22"/>
      <c r="AM267" s="22"/>
      <c r="AN267" s="22"/>
      <c r="AO267" s="22"/>
      <c r="AP267" s="22"/>
      <c r="AQ267" s="22"/>
      <c r="AR267" s="22"/>
      <c r="AS267" s="22"/>
      <c r="AT267" s="22"/>
      <c r="AU267" s="22"/>
      <c r="AV267" s="22"/>
      <c r="AW267" s="109"/>
      <c r="AX267" s="22"/>
      <c r="AY267" s="140"/>
      <c r="AZ267" s="140"/>
      <c r="BA267" s="140"/>
      <c r="BB267" s="140"/>
      <c r="BC267" s="140"/>
      <c r="BD267" s="140"/>
      <c r="BE267" s="140"/>
      <c r="BF267" s="140"/>
      <c r="BG267" s="140"/>
      <c r="BH267" s="140"/>
      <c r="BI267" s="140"/>
      <c r="BJ267" s="140"/>
      <c r="BK267" s="140"/>
      <c r="BL267" s="140"/>
      <c r="BM267" s="140"/>
      <c r="BN267" s="140"/>
      <c r="BO267" s="140"/>
      <c r="BP267" s="140"/>
      <c r="BQ267" s="140"/>
      <c r="BR267" s="26"/>
    </row>
    <row r="268" spans="2:70" ht="22.2" thickBot="1" x14ac:dyDescent="0.5">
      <c r="B268" s="1" t="s">
        <v>109</v>
      </c>
      <c r="C268" s="2" t="s">
        <v>171</v>
      </c>
      <c r="D268" s="1" t="s">
        <v>169</v>
      </c>
      <c r="E268" s="3">
        <v>15</v>
      </c>
      <c r="F268" s="4">
        <f>+E268*$C$1</f>
        <v>7999.9500000000007</v>
      </c>
      <c r="G268" s="4">
        <f t="shared" ref="G268:G273" si="411">+BR268</f>
        <v>0</v>
      </c>
      <c r="H268" s="42">
        <f t="shared" ref="H268:H273" si="412">+F268+G268</f>
        <v>7999.9500000000007</v>
      </c>
      <c r="I268" s="6">
        <v>2</v>
      </c>
      <c r="J268" s="86"/>
      <c r="K268" s="7"/>
      <c r="L268" s="41"/>
      <c r="M268" s="37"/>
      <c r="N268" s="9" t="s">
        <v>309</v>
      </c>
      <c r="W268" s="1" t="s">
        <v>109</v>
      </c>
      <c r="X268" s="50">
        <v>1856</v>
      </c>
      <c r="Y268" s="49">
        <v>120</v>
      </c>
      <c r="Z268" s="49">
        <v>120</v>
      </c>
      <c r="AA268" s="49">
        <v>96</v>
      </c>
      <c r="AB268" s="49">
        <v>0</v>
      </c>
      <c r="AC268" s="31">
        <v>0</v>
      </c>
      <c r="AD268" s="28">
        <f t="shared" ref="AD268:AD273" si="413">+AC268-AB268</f>
        <v>0</v>
      </c>
      <c r="AE268" s="52">
        <v>0</v>
      </c>
      <c r="AF268" s="52"/>
      <c r="AG268" s="49">
        <v>0</v>
      </c>
      <c r="AH268" s="28">
        <f t="shared" ref="AH268:AH273" si="414">+(AD268+AE268)-AG268</f>
        <v>0</v>
      </c>
      <c r="AI268" s="22"/>
      <c r="AJ268" s="22"/>
      <c r="AK268" s="22"/>
      <c r="AL268" s="22"/>
      <c r="AM268" s="22"/>
      <c r="AN268" s="22"/>
      <c r="AO268" s="22"/>
      <c r="AP268" s="22"/>
      <c r="AQ268" s="22"/>
      <c r="AR268" s="22"/>
      <c r="AS268" s="22"/>
      <c r="AT268" s="22"/>
      <c r="AU268" s="22"/>
      <c r="AV268" s="22"/>
      <c r="AW268" s="109"/>
      <c r="AX268" s="22"/>
      <c r="AY268" s="140"/>
      <c r="AZ268" s="140"/>
      <c r="BA268" s="140"/>
      <c r="BB268" s="140"/>
      <c r="BC268" s="140"/>
      <c r="BD268" s="140"/>
      <c r="BE268" s="140"/>
      <c r="BF268" s="140"/>
      <c r="BG268" s="140"/>
      <c r="BH268" s="140"/>
      <c r="BI268" s="140"/>
      <c r="BJ268" s="140"/>
      <c r="BK268" s="140"/>
      <c r="BL268" s="140"/>
      <c r="BM268" s="140"/>
      <c r="BN268" s="140"/>
      <c r="BO268" s="140"/>
      <c r="BP268" s="140"/>
      <c r="BQ268" s="140"/>
      <c r="BR268" s="26"/>
    </row>
    <row r="269" spans="2:70" ht="22.2" thickBot="1" x14ac:dyDescent="0.5">
      <c r="B269" s="1" t="s">
        <v>296</v>
      </c>
      <c r="C269" s="2" t="s">
        <v>21</v>
      </c>
      <c r="D269" s="18">
        <v>43831</v>
      </c>
      <c r="E269" s="3">
        <v>0</v>
      </c>
      <c r="F269" s="4">
        <v>0</v>
      </c>
      <c r="G269" s="4">
        <f t="shared" si="411"/>
        <v>0</v>
      </c>
      <c r="H269" s="42">
        <f t="shared" si="412"/>
        <v>0</v>
      </c>
      <c r="I269" s="6">
        <v>15</v>
      </c>
      <c r="J269" s="86"/>
      <c r="K269" s="7"/>
      <c r="L269" s="39">
        <v>44562</v>
      </c>
      <c r="M269" s="37"/>
      <c r="N269" s="9" t="s">
        <v>309</v>
      </c>
      <c r="W269" s="1" t="s">
        <v>296</v>
      </c>
      <c r="X269" s="50">
        <v>0</v>
      </c>
      <c r="Y269" s="48">
        <v>0</v>
      </c>
      <c r="Z269" s="49">
        <v>0</v>
      </c>
      <c r="AA269" s="49">
        <v>0</v>
      </c>
      <c r="AB269" s="49">
        <v>0</v>
      </c>
      <c r="AC269" s="31">
        <v>0</v>
      </c>
      <c r="AD269" s="28">
        <f t="shared" si="413"/>
        <v>0</v>
      </c>
      <c r="AE269" s="52">
        <v>0</v>
      </c>
      <c r="AF269" s="52"/>
      <c r="AG269" s="49">
        <v>0</v>
      </c>
      <c r="AH269" s="28">
        <f t="shared" si="414"/>
        <v>0</v>
      </c>
      <c r="AI269" s="22"/>
      <c r="AJ269" s="22"/>
      <c r="AK269" s="22"/>
      <c r="AL269" s="22"/>
      <c r="AM269" s="22"/>
      <c r="AN269" s="22"/>
      <c r="AO269" s="22"/>
      <c r="AP269" s="22"/>
      <c r="AQ269" s="22"/>
      <c r="AR269" s="22"/>
      <c r="AS269" s="22"/>
      <c r="AT269" s="22"/>
      <c r="AU269" s="22"/>
      <c r="AV269" s="22"/>
      <c r="AW269" s="109"/>
      <c r="AX269" s="22"/>
      <c r="AY269" s="140"/>
      <c r="AZ269" s="140"/>
      <c r="BA269" s="140"/>
      <c r="BB269" s="140"/>
      <c r="BC269" s="140"/>
      <c r="BD269" s="140"/>
      <c r="BE269" s="140"/>
      <c r="BF269" s="140"/>
      <c r="BG269" s="140"/>
      <c r="BH269" s="140"/>
      <c r="BI269" s="140"/>
      <c r="BJ269" s="140"/>
      <c r="BK269" s="140"/>
      <c r="BL269" s="140"/>
      <c r="BM269" s="140"/>
      <c r="BN269" s="140"/>
      <c r="BO269" s="140"/>
      <c r="BP269" s="140"/>
      <c r="BQ269" s="140"/>
      <c r="BR269" s="26"/>
    </row>
    <row r="270" spans="2:70" ht="22.2" thickBot="1" x14ac:dyDescent="0.5">
      <c r="B270" s="1" t="s">
        <v>110</v>
      </c>
      <c r="C270" s="2" t="s">
        <v>23</v>
      </c>
      <c r="D270" s="1" t="s">
        <v>170</v>
      </c>
      <c r="E270" s="3">
        <v>5</v>
      </c>
      <c r="F270" s="4">
        <f t="shared" ref="F270:F275" si="415">+E270*$C$1</f>
        <v>2666.65</v>
      </c>
      <c r="G270" s="4">
        <f t="shared" si="411"/>
        <v>0</v>
      </c>
      <c r="H270" s="42">
        <f t="shared" si="412"/>
        <v>2666.65</v>
      </c>
      <c r="I270" s="6">
        <v>10</v>
      </c>
      <c r="J270" s="86"/>
      <c r="K270" s="7"/>
      <c r="L270" s="41">
        <v>43963</v>
      </c>
      <c r="M270" s="37"/>
      <c r="N270" s="9" t="s">
        <v>309</v>
      </c>
      <c r="W270" s="1" t="s">
        <v>110</v>
      </c>
      <c r="X270" s="50">
        <v>957</v>
      </c>
      <c r="Y270" s="49">
        <v>96</v>
      </c>
      <c r="Z270" s="49">
        <v>96</v>
      </c>
      <c r="AA270" s="49">
        <v>108</v>
      </c>
      <c r="AB270" s="49">
        <v>120</v>
      </c>
      <c r="AC270" s="31">
        <v>210.6</v>
      </c>
      <c r="AD270" s="28">
        <f t="shared" si="413"/>
        <v>90.6</v>
      </c>
      <c r="AE270" s="52">
        <v>0</v>
      </c>
      <c r="AF270" s="52"/>
      <c r="AG270" s="49">
        <v>90.6</v>
      </c>
      <c r="AH270" s="28">
        <f t="shared" si="414"/>
        <v>0</v>
      </c>
      <c r="AI270" s="22"/>
      <c r="AJ270" s="22"/>
      <c r="AK270" s="22"/>
      <c r="AL270" s="22"/>
      <c r="AM270" s="22"/>
      <c r="AN270" s="22"/>
      <c r="AO270" s="22"/>
      <c r="AP270" s="22"/>
      <c r="AQ270" s="22"/>
      <c r="AR270" s="22"/>
      <c r="AS270" s="22"/>
      <c r="AT270" s="22"/>
      <c r="AU270" s="22"/>
      <c r="AV270" s="22"/>
      <c r="AW270" s="109"/>
      <c r="AX270" s="22"/>
      <c r="AY270" s="140"/>
      <c r="AZ270" s="140"/>
      <c r="BA270" s="140"/>
      <c r="BB270" s="140"/>
      <c r="BC270" s="140"/>
      <c r="BD270" s="140"/>
      <c r="BE270" s="140"/>
      <c r="BF270" s="140"/>
      <c r="BG270" s="140"/>
      <c r="BH270" s="140"/>
      <c r="BI270" s="140"/>
      <c r="BJ270" s="140"/>
      <c r="BK270" s="140"/>
      <c r="BL270" s="140"/>
      <c r="BM270" s="140"/>
      <c r="BN270" s="140"/>
      <c r="BO270" s="140"/>
      <c r="BP270" s="140"/>
      <c r="BQ270" s="140"/>
      <c r="BR270" s="26"/>
    </row>
    <row r="271" spans="2:70" ht="22.2" thickBot="1" x14ac:dyDescent="0.5">
      <c r="B271" s="1" t="s">
        <v>35</v>
      </c>
      <c r="C271" s="2" t="s">
        <v>23</v>
      </c>
      <c r="D271" s="1" t="s">
        <v>118</v>
      </c>
      <c r="E271" s="3">
        <v>3</v>
      </c>
      <c r="F271" s="4">
        <f t="shared" si="415"/>
        <v>1599.9900000000002</v>
      </c>
      <c r="G271" s="4">
        <f t="shared" si="411"/>
        <v>0</v>
      </c>
      <c r="H271" s="42">
        <f t="shared" si="412"/>
        <v>1599.9900000000002</v>
      </c>
      <c r="I271" s="6">
        <v>12</v>
      </c>
      <c r="J271" s="86"/>
      <c r="K271" s="7"/>
      <c r="L271" s="56">
        <v>44000</v>
      </c>
      <c r="M271" s="37"/>
      <c r="N271" s="9" t="s">
        <v>309</v>
      </c>
      <c r="W271" s="1" t="s">
        <v>35</v>
      </c>
      <c r="X271" s="50">
        <v>420</v>
      </c>
      <c r="Y271" s="48">
        <v>96</v>
      </c>
      <c r="Z271" s="49">
        <v>96</v>
      </c>
      <c r="AA271" s="49">
        <v>120</v>
      </c>
      <c r="AB271" s="49">
        <v>120</v>
      </c>
      <c r="AC271" s="31">
        <v>276</v>
      </c>
      <c r="AD271" s="28">
        <f t="shared" si="413"/>
        <v>156</v>
      </c>
      <c r="AE271" s="52">
        <v>0</v>
      </c>
      <c r="AF271" s="52"/>
      <c r="AG271" s="49">
        <v>120</v>
      </c>
      <c r="AH271" s="28">
        <f t="shared" si="414"/>
        <v>36</v>
      </c>
      <c r="AI271" s="52"/>
      <c r="AJ271" s="52"/>
      <c r="AK271" s="49"/>
      <c r="AL271" s="28"/>
      <c r="AM271" s="52"/>
      <c r="AN271" s="52"/>
      <c r="AO271" s="49"/>
      <c r="AP271" s="28"/>
      <c r="AQ271" s="28"/>
      <c r="AR271" s="28"/>
      <c r="AS271" s="28"/>
      <c r="AT271" s="28"/>
      <c r="AU271" s="28"/>
      <c r="AV271" s="28"/>
      <c r="AW271" s="109"/>
      <c r="AX271" s="28"/>
      <c r="AY271" s="141"/>
      <c r="AZ271" s="141"/>
      <c r="BA271" s="141"/>
      <c r="BB271" s="141"/>
      <c r="BC271" s="141"/>
      <c r="BD271" s="141"/>
      <c r="BE271" s="141"/>
      <c r="BF271" s="141"/>
      <c r="BG271" s="141"/>
      <c r="BH271" s="141"/>
      <c r="BI271" s="141"/>
      <c r="BJ271" s="141"/>
      <c r="BK271" s="141"/>
      <c r="BL271" s="141"/>
      <c r="BM271" s="141"/>
      <c r="BN271" s="141"/>
      <c r="BO271" s="141"/>
      <c r="BP271" s="141"/>
      <c r="BQ271" s="141"/>
      <c r="BR271" s="26"/>
    </row>
    <row r="272" spans="2:70" ht="22.2" thickBot="1" x14ac:dyDescent="0.5">
      <c r="B272" s="1" t="s">
        <v>286</v>
      </c>
      <c r="C272" s="2" t="s">
        <v>21</v>
      </c>
      <c r="D272" s="18">
        <v>43647</v>
      </c>
      <c r="E272" s="3">
        <v>0</v>
      </c>
      <c r="F272" s="4">
        <f t="shared" si="415"/>
        <v>0</v>
      </c>
      <c r="G272" s="4">
        <f t="shared" si="411"/>
        <v>0</v>
      </c>
      <c r="H272" s="42">
        <f t="shared" si="412"/>
        <v>0</v>
      </c>
      <c r="I272" s="6">
        <v>15</v>
      </c>
      <c r="J272" s="86"/>
      <c r="K272" s="7"/>
      <c r="L272" s="39">
        <v>44378</v>
      </c>
      <c r="M272" s="37"/>
      <c r="N272" s="9" t="s">
        <v>309</v>
      </c>
      <c r="W272" s="1" t="s">
        <v>286</v>
      </c>
      <c r="X272" s="50">
        <v>0</v>
      </c>
      <c r="Y272" s="48">
        <v>0</v>
      </c>
      <c r="Z272" s="49">
        <v>0</v>
      </c>
      <c r="AA272" s="49">
        <v>0</v>
      </c>
      <c r="AB272" s="49">
        <v>78</v>
      </c>
      <c r="AC272" s="31">
        <v>78</v>
      </c>
      <c r="AD272" s="28">
        <f t="shared" si="413"/>
        <v>0</v>
      </c>
      <c r="AE272" s="52">
        <v>0</v>
      </c>
      <c r="AF272" s="52"/>
      <c r="AG272" s="49">
        <v>0</v>
      </c>
      <c r="AH272" s="28">
        <f t="shared" si="414"/>
        <v>0</v>
      </c>
      <c r="AI272" s="22"/>
      <c r="AJ272" s="22"/>
      <c r="AK272" s="22"/>
      <c r="AL272" s="22"/>
      <c r="AM272" s="22"/>
      <c r="AN272" s="22"/>
      <c r="AO272" s="22"/>
      <c r="AP272" s="22"/>
      <c r="AQ272" s="22"/>
      <c r="AR272" s="22"/>
      <c r="AS272" s="22"/>
      <c r="AT272" s="22"/>
      <c r="AU272" s="22"/>
      <c r="AV272" s="22"/>
      <c r="AW272" s="109"/>
      <c r="AX272" s="22"/>
      <c r="AY272" s="140"/>
      <c r="AZ272" s="140"/>
      <c r="BA272" s="140"/>
      <c r="BB272" s="140"/>
      <c r="BC272" s="140"/>
      <c r="BD272" s="140"/>
      <c r="BE272" s="140"/>
      <c r="BF272" s="140"/>
      <c r="BG272" s="140"/>
      <c r="BH272" s="140"/>
      <c r="BI272" s="140"/>
      <c r="BJ272" s="140"/>
      <c r="BK272" s="140"/>
      <c r="BL272" s="140"/>
      <c r="BM272" s="140"/>
      <c r="BN272" s="140"/>
      <c r="BO272" s="140"/>
      <c r="BP272" s="140"/>
      <c r="BQ272" s="140"/>
      <c r="BR272" s="26"/>
    </row>
    <row r="273" spans="2:70" ht="22.2" thickBot="1" x14ac:dyDescent="0.5">
      <c r="B273" s="1" t="s">
        <v>300</v>
      </c>
      <c r="C273" s="2" t="s">
        <v>19</v>
      </c>
      <c r="D273" s="18">
        <v>43907</v>
      </c>
      <c r="E273" s="3">
        <v>0</v>
      </c>
      <c r="F273" s="4">
        <f t="shared" si="415"/>
        <v>0</v>
      </c>
      <c r="G273" s="4">
        <f t="shared" si="411"/>
        <v>0</v>
      </c>
      <c r="H273" s="42">
        <f t="shared" si="412"/>
        <v>0</v>
      </c>
      <c r="I273" s="6">
        <v>15</v>
      </c>
      <c r="J273" s="86"/>
      <c r="K273" s="7"/>
      <c r="L273" s="39">
        <v>44637</v>
      </c>
      <c r="M273" s="37"/>
      <c r="N273" s="9" t="s">
        <v>309</v>
      </c>
      <c r="W273" s="1" t="s">
        <v>300</v>
      </c>
      <c r="X273" s="50">
        <v>0</v>
      </c>
      <c r="Y273" s="48">
        <v>0</v>
      </c>
      <c r="Z273" s="49">
        <v>0</v>
      </c>
      <c r="AA273" s="49">
        <v>0</v>
      </c>
      <c r="AB273" s="49">
        <v>0</v>
      </c>
      <c r="AC273" s="31">
        <v>0</v>
      </c>
      <c r="AD273" s="28">
        <f t="shared" si="413"/>
        <v>0</v>
      </c>
      <c r="AE273" s="52">
        <v>0</v>
      </c>
      <c r="AF273" s="52"/>
      <c r="AG273" s="49">
        <v>0</v>
      </c>
      <c r="AH273" s="28">
        <f t="shared" si="414"/>
        <v>0</v>
      </c>
      <c r="AI273" s="22"/>
      <c r="AJ273" s="22"/>
      <c r="AK273" s="22"/>
      <c r="AL273" s="22"/>
      <c r="AM273" s="22"/>
      <c r="AN273" s="22"/>
      <c r="AO273" s="22"/>
      <c r="AP273" s="22"/>
      <c r="AQ273" s="22"/>
      <c r="AR273" s="22"/>
      <c r="AS273" s="22"/>
      <c r="AT273" s="22"/>
      <c r="AU273" s="22"/>
      <c r="AV273" s="22"/>
      <c r="AW273" s="109"/>
      <c r="AX273" s="22"/>
      <c r="AY273" s="140"/>
      <c r="AZ273" s="140"/>
      <c r="BA273" s="140"/>
      <c r="BB273" s="140"/>
      <c r="BC273" s="140"/>
      <c r="BD273" s="140"/>
      <c r="BE273" s="140"/>
      <c r="BF273" s="140"/>
      <c r="BG273" s="140"/>
      <c r="BH273" s="140"/>
      <c r="BI273" s="140"/>
      <c r="BJ273" s="140"/>
      <c r="BK273" s="140"/>
      <c r="BL273" s="140"/>
      <c r="BM273" s="140"/>
      <c r="BN273" s="140"/>
      <c r="BO273" s="140"/>
      <c r="BP273" s="140"/>
      <c r="BQ273" s="140"/>
      <c r="BR273" s="26"/>
    </row>
    <row r="274" spans="2:70" ht="22.2" thickBot="1" x14ac:dyDescent="0.5">
      <c r="B274" s="1" t="s">
        <v>298</v>
      </c>
      <c r="C274" s="2" t="s">
        <v>21</v>
      </c>
      <c r="D274" s="13">
        <v>43881</v>
      </c>
      <c r="E274" s="4">
        <v>0</v>
      </c>
      <c r="F274" s="4">
        <f t="shared" si="415"/>
        <v>0</v>
      </c>
      <c r="G274" s="4">
        <f t="shared" ref="G274:G281" si="416">+BR274</f>
        <v>0</v>
      </c>
      <c r="H274" s="42">
        <f t="shared" ref="H274:H281" si="417">+F274+G274</f>
        <v>0</v>
      </c>
      <c r="I274" s="6">
        <v>15</v>
      </c>
      <c r="J274" s="86"/>
      <c r="K274" s="7"/>
      <c r="L274" s="59">
        <v>44612</v>
      </c>
      <c r="M274" s="7"/>
      <c r="N274" s="9" t="s">
        <v>309</v>
      </c>
      <c r="W274" s="1" t="s">
        <v>298</v>
      </c>
      <c r="X274" s="50">
        <v>0</v>
      </c>
      <c r="Y274" s="48">
        <v>0</v>
      </c>
      <c r="Z274" s="49">
        <v>0</v>
      </c>
      <c r="AA274" s="49">
        <v>0</v>
      </c>
      <c r="AB274" s="49">
        <v>0</v>
      </c>
      <c r="AC274" s="31">
        <v>0</v>
      </c>
      <c r="AD274" s="28">
        <f t="shared" ref="AD274:AD281" si="418">+AC274-AB274</f>
        <v>0</v>
      </c>
      <c r="AE274" s="52">
        <v>0</v>
      </c>
      <c r="AF274" s="52">
        <f t="shared" si="29"/>
        <v>0</v>
      </c>
      <c r="AG274" s="49">
        <v>0</v>
      </c>
      <c r="AH274" s="44">
        <f t="shared" ref="AH274:AH281" si="419">+AD274+(AE274+AF274)-AG274</f>
        <v>0</v>
      </c>
      <c r="AI274" s="52"/>
      <c r="AJ274" s="52"/>
      <c r="AK274" s="49"/>
      <c r="AL274" s="28"/>
      <c r="AM274" s="52"/>
      <c r="AN274" s="52"/>
      <c r="AO274" s="49"/>
      <c r="AP274" s="28"/>
      <c r="AQ274" s="28"/>
      <c r="AR274" s="28"/>
      <c r="AS274" s="28"/>
      <c r="AT274" s="28"/>
      <c r="AU274" s="28"/>
      <c r="AV274" s="28"/>
      <c r="AW274" s="109"/>
      <c r="AX274" s="28"/>
      <c r="AY274" s="141"/>
      <c r="AZ274" s="141"/>
      <c r="BA274" s="141"/>
      <c r="BB274" s="141"/>
      <c r="BC274" s="141"/>
      <c r="BD274" s="141"/>
      <c r="BE274" s="141"/>
      <c r="BF274" s="141"/>
      <c r="BG274" s="141"/>
      <c r="BH274" s="141"/>
      <c r="BI274" s="141"/>
      <c r="BJ274" s="141"/>
      <c r="BK274" s="141"/>
      <c r="BL274" s="141"/>
      <c r="BM274" s="141"/>
      <c r="BN274" s="141"/>
      <c r="BO274" s="141"/>
      <c r="BP274" s="141"/>
      <c r="BQ274" s="141"/>
      <c r="BR274" s="26"/>
    </row>
    <row r="275" spans="2:70" ht="22.2" thickBot="1" x14ac:dyDescent="0.5">
      <c r="B275" s="1" t="s">
        <v>311</v>
      </c>
      <c r="C275" s="2" t="s">
        <v>19</v>
      </c>
      <c r="D275" s="13">
        <v>43986</v>
      </c>
      <c r="E275" s="3">
        <v>0</v>
      </c>
      <c r="F275" s="4">
        <f t="shared" si="415"/>
        <v>0</v>
      </c>
      <c r="G275" s="4">
        <f t="shared" si="416"/>
        <v>0</v>
      </c>
      <c r="H275" s="42">
        <f t="shared" si="417"/>
        <v>0</v>
      </c>
      <c r="I275" s="6">
        <v>15</v>
      </c>
      <c r="J275" s="86"/>
      <c r="K275" s="7"/>
      <c r="L275" s="41">
        <v>44716</v>
      </c>
      <c r="M275" s="37"/>
      <c r="N275" s="9" t="s">
        <v>309</v>
      </c>
      <c r="W275" s="1" t="s">
        <v>311</v>
      </c>
      <c r="X275" s="50">
        <v>0</v>
      </c>
      <c r="Y275" s="48">
        <v>0</v>
      </c>
      <c r="Z275" s="49">
        <v>0</v>
      </c>
      <c r="AA275" s="49">
        <v>0</v>
      </c>
      <c r="AB275" s="49">
        <v>0</v>
      </c>
      <c r="AC275" s="31">
        <v>0</v>
      </c>
      <c r="AD275" s="28">
        <f t="shared" si="418"/>
        <v>0</v>
      </c>
      <c r="AE275" s="52">
        <v>0</v>
      </c>
      <c r="AF275" s="52">
        <f t="shared" si="80"/>
        <v>0</v>
      </c>
      <c r="AG275" s="49">
        <v>0</v>
      </c>
      <c r="AH275" s="60">
        <f t="shared" si="419"/>
        <v>0</v>
      </c>
      <c r="AI275" s="22"/>
      <c r="AJ275" s="22"/>
      <c r="AK275" s="22"/>
      <c r="AL275" s="22"/>
      <c r="AM275" s="22"/>
      <c r="AN275" s="22"/>
      <c r="AO275" s="22"/>
      <c r="AP275" s="22"/>
      <c r="AQ275" s="22"/>
      <c r="AR275" s="22"/>
      <c r="AS275" s="22"/>
      <c r="AT275" s="22"/>
      <c r="AU275" s="22"/>
      <c r="AV275" s="22"/>
      <c r="AW275" s="109"/>
      <c r="AX275" s="22"/>
      <c r="AY275" s="140"/>
      <c r="AZ275" s="140"/>
      <c r="BA275" s="140"/>
      <c r="BB275" s="140"/>
      <c r="BC275" s="140"/>
      <c r="BD275" s="140"/>
      <c r="BE275" s="140"/>
      <c r="BF275" s="140"/>
      <c r="BG275" s="140"/>
      <c r="BH275" s="140"/>
      <c r="BI275" s="140"/>
      <c r="BJ275" s="140"/>
      <c r="BK275" s="140"/>
      <c r="BL275" s="140"/>
      <c r="BM275" s="140"/>
      <c r="BN275" s="140"/>
      <c r="BO275" s="140"/>
      <c r="BP275" s="140"/>
      <c r="BQ275" s="140"/>
      <c r="BR275" s="26"/>
    </row>
    <row r="276" spans="2:70" ht="22.2" thickBot="1" x14ac:dyDescent="0.5">
      <c r="B276" s="1" t="s">
        <v>51</v>
      </c>
      <c r="C276" s="2" t="s">
        <v>21</v>
      </c>
      <c r="D276" s="1" t="s">
        <v>130</v>
      </c>
      <c r="E276" s="3">
        <v>15</v>
      </c>
      <c r="F276" s="4">
        <f t="shared" ref="F276:F281" si="420">+E276*$C$1</f>
        <v>7999.9500000000007</v>
      </c>
      <c r="G276" s="4">
        <f t="shared" si="416"/>
        <v>0</v>
      </c>
      <c r="H276" s="42">
        <f t="shared" si="417"/>
        <v>7999.9500000000007</v>
      </c>
      <c r="I276" s="6">
        <v>2</v>
      </c>
      <c r="J276" s="86"/>
      <c r="K276" s="7"/>
      <c r="L276" s="40"/>
      <c r="M276" s="37"/>
      <c r="N276" s="38" t="s">
        <v>25</v>
      </c>
      <c r="W276" s="1" t="s">
        <v>51</v>
      </c>
      <c r="X276" s="50">
        <v>2763.5</v>
      </c>
      <c r="Y276" s="48">
        <v>96</v>
      </c>
      <c r="Z276" s="49">
        <v>96</v>
      </c>
      <c r="AA276" s="49">
        <v>96</v>
      </c>
      <c r="AB276" s="49">
        <v>54.6</v>
      </c>
      <c r="AC276" s="31">
        <v>54.6</v>
      </c>
      <c r="AD276" s="28">
        <f t="shared" si="418"/>
        <v>0</v>
      </c>
      <c r="AE276" s="52">
        <v>78</v>
      </c>
      <c r="AF276" s="52">
        <f>+(0)+(0)+(0)+(0)+(0)+(108)</f>
        <v>108</v>
      </c>
      <c r="AG276" s="49">
        <v>150</v>
      </c>
      <c r="AH276" s="61">
        <f t="shared" si="419"/>
        <v>36</v>
      </c>
      <c r="AI276" s="22"/>
      <c r="AJ276" s="22"/>
      <c r="AK276" s="22"/>
      <c r="AL276" s="22"/>
      <c r="AM276" s="22"/>
      <c r="AN276" s="22"/>
      <c r="AO276" s="22"/>
      <c r="AP276" s="22"/>
      <c r="AQ276" s="22"/>
      <c r="AR276" s="22"/>
      <c r="AS276" s="22"/>
      <c r="AT276" s="22"/>
      <c r="AU276" s="22"/>
      <c r="AV276" s="22"/>
      <c r="AW276" s="109"/>
      <c r="AX276" s="22"/>
      <c r="AY276" s="140"/>
      <c r="AZ276" s="140"/>
      <c r="BA276" s="140"/>
      <c r="BB276" s="140"/>
      <c r="BC276" s="140"/>
      <c r="BD276" s="140"/>
      <c r="BE276" s="140"/>
      <c r="BF276" s="140"/>
      <c r="BG276" s="140"/>
      <c r="BH276" s="140"/>
      <c r="BI276" s="140"/>
      <c r="BJ276" s="140"/>
      <c r="BK276" s="140"/>
      <c r="BL276" s="140"/>
      <c r="BM276" s="140"/>
      <c r="BN276" s="140"/>
      <c r="BO276" s="140"/>
      <c r="BP276" s="140"/>
      <c r="BQ276" s="140"/>
      <c r="BR276" s="26"/>
    </row>
    <row r="277" spans="2:70" ht="22.2" thickBot="1" x14ac:dyDescent="0.5">
      <c r="B277" s="1" t="s">
        <v>103</v>
      </c>
      <c r="C277" s="2" t="s">
        <v>21</v>
      </c>
      <c r="D277" s="1" t="s">
        <v>111</v>
      </c>
      <c r="E277" s="3">
        <v>15</v>
      </c>
      <c r="F277" s="4">
        <f t="shared" si="420"/>
        <v>7999.9500000000007</v>
      </c>
      <c r="G277" s="4">
        <f t="shared" si="416"/>
        <v>0</v>
      </c>
      <c r="H277" s="42">
        <f t="shared" si="417"/>
        <v>7999.9500000000007</v>
      </c>
      <c r="I277" s="6">
        <v>2</v>
      </c>
      <c r="J277" s="86"/>
      <c r="K277" s="7"/>
      <c r="L277" s="40"/>
      <c r="M277" s="37"/>
      <c r="N277" s="38" t="s">
        <v>25</v>
      </c>
      <c r="W277" s="1" t="s">
        <v>103</v>
      </c>
      <c r="X277" s="50">
        <v>2550</v>
      </c>
      <c r="Y277" s="49">
        <v>96</v>
      </c>
      <c r="Z277" s="49">
        <v>96</v>
      </c>
      <c r="AA277" s="49">
        <v>96</v>
      </c>
      <c r="AB277" s="49">
        <v>0</v>
      </c>
      <c r="AC277" s="31">
        <v>0</v>
      </c>
      <c r="AD277" s="28">
        <f t="shared" si="418"/>
        <v>0</v>
      </c>
      <c r="AE277" s="52">
        <v>0</v>
      </c>
      <c r="AF277" s="52">
        <f t="shared" si="366"/>
        <v>0</v>
      </c>
      <c r="AG277" s="49">
        <v>0</v>
      </c>
      <c r="AH277" s="61">
        <f t="shared" si="419"/>
        <v>0</v>
      </c>
      <c r="AI277" s="22"/>
      <c r="AJ277" s="22"/>
      <c r="AK277" s="22"/>
      <c r="AL277" s="22"/>
      <c r="AM277" s="22"/>
      <c r="AN277" s="22"/>
      <c r="AO277" s="22"/>
      <c r="AP277" s="22"/>
      <c r="AQ277" s="22"/>
      <c r="AR277" s="22"/>
      <c r="AS277" s="22"/>
      <c r="AT277" s="22"/>
      <c r="AU277" s="22"/>
      <c r="AV277" s="22"/>
      <c r="AW277" s="109"/>
      <c r="AX277" s="22"/>
      <c r="AY277" s="140"/>
      <c r="AZ277" s="140"/>
      <c r="BA277" s="140"/>
      <c r="BB277" s="140"/>
      <c r="BC277" s="140"/>
      <c r="BD277" s="140"/>
      <c r="BE277" s="140"/>
      <c r="BF277" s="140"/>
      <c r="BG277" s="140"/>
      <c r="BH277" s="140"/>
      <c r="BI277" s="140"/>
      <c r="BJ277" s="140"/>
      <c r="BK277" s="140"/>
      <c r="BL277" s="140"/>
      <c r="BM277" s="140"/>
      <c r="BN277" s="140"/>
      <c r="BO277" s="140"/>
      <c r="BP277" s="140"/>
      <c r="BQ277" s="140"/>
      <c r="BR277" s="26"/>
    </row>
    <row r="278" spans="2:70" ht="22.2" thickBot="1" x14ac:dyDescent="0.5">
      <c r="B278" s="1" t="s">
        <v>290</v>
      </c>
      <c r="C278" s="2" t="s">
        <v>21</v>
      </c>
      <c r="D278" s="10"/>
      <c r="E278" s="3">
        <v>14</v>
      </c>
      <c r="F278" s="4">
        <f t="shared" si="420"/>
        <v>7466.6200000000008</v>
      </c>
      <c r="G278" s="4">
        <f t="shared" si="416"/>
        <v>0</v>
      </c>
      <c r="H278" s="42">
        <f t="shared" si="417"/>
        <v>7466.6200000000008</v>
      </c>
      <c r="I278" s="6">
        <v>5</v>
      </c>
      <c r="J278" s="86"/>
      <c r="K278" s="32" t="s">
        <v>291</v>
      </c>
      <c r="L278" s="41">
        <v>44509</v>
      </c>
      <c r="M278" s="37"/>
      <c r="N278" s="9" t="s">
        <v>309</v>
      </c>
      <c r="W278" s="1" t="s">
        <v>290</v>
      </c>
      <c r="X278" s="50">
        <v>1650</v>
      </c>
      <c r="Y278" s="48">
        <v>0</v>
      </c>
      <c r="Z278" s="49">
        <v>0</v>
      </c>
      <c r="AA278" s="49">
        <v>0</v>
      </c>
      <c r="AB278" s="49">
        <v>0</v>
      </c>
      <c r="AC278" s="31">
        <v>0</v>
      </c>
      <c r="AD278" s="28">
        <f t="shared" si="418"/>
        <v>0</v>
      </c>
      <c r="AE278" s="52">
        <v>0</v>
      </c>
      <c r="AF278" s="52">
        <f t="shared" si="240"/>
        <v>0</v>
      </c>
      <c r="AG278" s="49">
        <v>0</v>
      </c>
      <c r="AH278" s="61">
        <f t="shared" si="419"/>
        <v>0</v>
      </c>
      <c r="AI278" s="22"/>
      <c r="AJ278" s="22"/>
      <c r="AK278" s="22"/>
      <c r="AL278" s="22"/>
      <c r="AM278" s="22"/>
      <c r="AN278" s="22"/>
      <c r="AO278" s="22"/>
      <c r="AP278" s="22"/>
      <c r="AQ278" s="22"/>
      <c r="AR278" s="22"/>
      <c r="AS278" s="22"/>
      <c r="AT278" s="22"/>
      <c r="AU278" s="22"/>
      <c r="AV278" s="22"/>
      <c r="AW278" s="109"/>
      <c r="AX278" s="22"/>
      <c r="AY278" s="140"/>
      <c r="AZ278" s="140"/>
      <c r="BA278" s="140"/>
      <c r="BB278" s="140"/>
      <c r="BC278" s="140"/>
      <c r="BD278" s="140"/>
      <c r="BE278" s="140"/>
      <c r="BF278" s="140"/>
      <c r="BG278" s="140"/>
      <c r="BH278" s="140"/>
      <c r="BI278" s="140"/>
      <c r="BJ278" s="140"/>
      <c r="BK278" s="140"/>
      <c r="BL278" s="140"/>
      <c r="BM278" s="140"/>
      <c r="BN278" s="140"/>
      <c r="BO278" s="140"/>
      <c r="BP278" s="140"/>
      <c r="BQ278" s="140"/>
      <c r="BR278" s="26"/>
    </row>
    <row r="279" spans="2:70" ht="22.2" thickBot="1" x14ac:dyDescent="0.5">
      <c r="B279" s="1" t="s">
        <v>86</v>
      </c>
      <c r="C279" s="2" t="s">
        <v>23</v>
      </c>
      <c r="D279" s="1" t="s">
        <v>157</v>
      </c>
      <c r="E279" s="3">
        <v>7</v>
      </c>
      <c r="F279" s="4">
        <f t="shared" si="420"/>
        <v>3733.3100000000004</v>
      </c>
      <c r="G279" s="4">
        <f t="shared" si="416"/>
        <v>0</v>
      </c>
      <c r="H279" s="42">
        <f t="shared" si="417"/>
        <v>3733.3100000000004</v>
      </c>
      <c r="I279" s="6">
        <v>9</v>
      </c>
      <c r="J279" s="86"/>
      <c r="K279" s="7"/>
      <c r="L279" s="41">
        <v>44228</v>
      </c>
      <c r="M279" s="37"/>
      <c r="N279" s="9" t="s">
        <v>309</v>
      </c>
      <c r="W279" s="1" t="s">
        <v>86</v>
      </c>
      <c r="X279" s="50">
        <v>1200</v>
      </c>
      <c r="Y279" s="48">
        <v>96</v>
      </c>
      <c r="Z279" s="49">
        <v>96</v>
      </c>
      <c r="AA279" s="49">
        <v>120</v>
      </c>
      <c r="AB279" s="49">
        <v>0</v>
      </c>
      <c r="AC279" s="31">
        <v>0</v>
      </c>
      <c r="AD279" s="28">
        <f t="shared" si="418"/>
        <v>0</v>
      </c>
      <c r="AE279" s="52">
        <v>0</v>
      </c>
      <c r="AF279" s="52">
        <f>+(0)+(0)+(0)+(0)+(0)+(108)</f>
        <v>108</v>
      </c>
      <c r="AG279" s="49">
        <v>108</v>
      </c>
      <c r="AH279" s="61">
        <f t="shared" si="419"/>
        <v>0</v>
      </c>
      <c r="AI279" s="22"/>
      <c r="AJ279" s="22"/>
      <c r="AK279" s="22"/>
      <c r="AL279" s="22"/>
      <c r="AM279" s="22"/>
      <c r="AN279" s="22"/>
      <c r="AO279" s="22"/>
      <c r="AP279" s="22"/>
      <c r="AQ279" s="22"/>
      <c r="AR279" s="22"/>
      <c r="AS279" s="22"/>
      <c r="AT279" s="22"/>
      <c r="AU279" s="22"/>
      <c r="AV279" s="22"/>
      <c r="AW279" s="109"/>
      <c r="AX279" s="22"/>
      <c r="AY279" s="140"/>
      <c r="AZ279" s="140"/>
      <c r="BA279" s="140"/>
      <c r="BB279" s="140"/>
      <c r="BC279" s="140"/>
      <c r="BD279" s="140"/>
      <c r="BE279" s="140"/>
      <c r="BF279" s="140"/>
      <c r="BG279" s="140"/>
      <c r="BH279" s="140"/>
      <c r="BI279" s="140"/>
      <c r="BJ279" s="140"/>
      <c r="BK279" s="140"/>
      <c r="BL279" s="140"/>
      <c r="BM279" s="140"/>
      <c r="BN279" s="140"/>
      <c r="BO279" s="140"/>
      <c r="BP279" s="140"/>
      <c r="BQ279" s="140"/>
      <c r="BR279" s="26"/>
    </row>
    <row r="280" spans="2:70" ht="22.2" thickBot="1" x14ac:dyDescent="0.5">
      <c r="B280" s="1" t="s">
        <v>104</v>
      </c>
      <c r="C280" s="2" t="s">
        <v>23</v>
      </c>
      <c r="D280" s="1" t="s">
        <v>166</v>
      </c>
      <c r="E280" s="3">
        <v>9</v>
      </c>
      <c r="F280" s="4">
        <f t="shared" si="420"/>
        <v>4799.97</v>
      </c>
      <c r="G280" s="4">
        <f t="shared" si="416"/>
        <v>0</v>
      </c>
      <c r="H280" s="42">
        <f t="shared" si="417"/>
        <v>4799.97</v>
      </c>
      <c r="I280" s="6">
        <v>7</v>
      </c>
      <c r="J280" s="86"/>
      <c r="K280" s="7"/>
      <c r="L280" s="41">
        <v>44769</v>
      </c>
      <c r="M280" s="37"/>
      <c r="N280" s="9" t="s">
        <v>309</v>
      </c>
      <c r="O280" s="7"/>
      <c r="P280" s="7"/>
      <c r="Q280" s="7"/>
      <c r="R280" s="7"/>
      <c r="S280" s="7"/>
      <c r="T280" s="7"/>
      <c r="U280" s="7"/>
      <c r="V280" s="7"/>
      <c r="W280" s="1" t="s">
        <v>104</v>
      </c>
      <c r="X280" s="50">
        <v>1189</v>
      </c>
      <c r="Y280" s="49">
        <v>96</v>
      </c>
      <c r="Z280" s="49">
        <v>96</v>
      </c>
      <c r="AA280" s="49">
        <v>120</v>
      </c>
      <c r="AB280" s="49">
        <v>120</v>
      </c>
      <c r="AC280" s="49">
        <v>156</v>
      </c>
      <c r="AD280" s="49">
        <f t="shared" si="418"/>
        <v>36</v>
      </c>
      <c r="AE280" s="49">
        <v>54.6</v>
      </c>
      <c r="AF280" s="49">
        <f>+(78)+(54.6)+(0)+(0)+(0)+(0)</f>
        <v>132.6</v>
      </c>
      <c r="AG280" s="49">
        <v>120</v>
      </c>
      <c r="AH280" s="49">
        <f t="shared" si="419"/>
        <v>103.19999999999999</v>
      </c>
      <c r="AI280" s="49"/>
      <c r="AJ280" s="49"/>
      <c r="AK280" s="49"/>
      <c r="AL280" s="49"/>
      <c r="AM280" s="49"/>
      <c r="AN280" s="49"/>
      <c r="AO280" s="49"/>
      <c r="AP280" s="49"/>
      <c r="AQ280" s="49"/>
      <c r="AR280" s="49"/>
      <c r="AS280" s="49"/>
      <c r="AT280" s="49"/>
      <c r="AU280" s="49"/>
      <c r="AV280" s="49"/>
      <c r="AW280" s="109"/>
      <c r="AX280" s="49"/>
      <c r="AY280" s="89"/>
      <c r="AZ280" s="89"/>
      <c r="BA280" s="89"/>
      <c r="BB280" s="89"/>
      <c r="BC280" s="89"/>
      <c r="BD280" s="89"/>
      <c r="BE280" s="89"/>
      <c r="BF280" s="89"/>
      <c r="BG280" s="89"/>
      <c r="BH280" s="89"/>
      <c r="BI280" s="89"/>
      <c r="BJ280" s="89"/>
      <c r="BK280" s="89"/>
      <c r="BL280" s="89"/>
      <c r="BM280" s="89"/>
      <c r="BN280" s="89"/>
      <c r="BO280" s="89"/>
      <c r="BP280" s="89"/>
      <c r="BQ280" s="89"/>
      <c r="BR280" s="62"/>
    </row>
    <row r="281" spans="2:70" ht="22.2" thickBot="1" x14ac:dyDescent="0.5">
      <c r="B281" s="1" t="s">
        <v>31</v>
      </c>
      <c r="C281" s="2" t="s">
        <v>20</v>
      </c>
      <c r="D281" s="10" t="s">
        <v>114</v>
      </c>
      <c r="E281" s="3">
        <v>15</v>
      </c>
      <c r="F281" s="4">
        <f t="shared" si="420"/>
        <v>7999.9500000000007</v>
      </c>
      <c r="G281" s="4">
        <f t="shared" si="416"/>
        <v>0</v>
      </c>
      <c r="H281" s="42">
        <f t="shared" si="417"/>
        <v>7999.9500000000007</v>
      </c>
      <c r="I281" s="6">
        <v>3</v>
      </c>
      <c r="J281" s="86"/>
      <c r="K281" s="7"/>
      <c r="L281" s="39"/>
      <c r="M281" s="37"/>
      <c r="N281" s="38" t="s">
        <v>25</v>
      </c>
      <c r="W281" s="10" t="s">
        <v>31</v>
      </c>
      <c r="X281" s="50">
        <v>2059</v>
      </c>
      <c r="Y281" s="48">
        <v>150</v>
      </c>
      <c r="Z281" s="49">
        <v>96</v>
      </c>
      <c r="AA281" s="49">
        <v>150</v>
      </c>
      <c r="AB281" s="49">
        <v>0</v>
      </c>
      <c r="AC281" s="31">
        <v>0</v>
      </c>
      <c r="AD281" s="28">
        <f t="shared" si="418"/>
        <v>0</v>
      </c>
      <c r="AE281" s="52">
        <v>0</v>
      </c>
      <c r="AF281" s="52">
        <f t="shared" si="29"/>
        <v>0</v>
      </c>
      <c r="AG281" s="49">
        <v>0</v>
      </c>
      <c r="AH281" s="61">
        <f t="shared" si="419"/>
        <v>0</v>
      </c>
      <c r="AI281" s="52"/>
      <c r="AJ281" s="52"/>
      <c r="AK281" s="49"/>
      <c r="AL281" s="28"/>
      <c r="AM281" s="52"/>
      <c r="AN281" s="52"/>
      <c r="AO281" s="49"/>
      <c r="AP281" s="28"/>
      <c r="AQ281" s="28"/>
      <c r="AR281" s="28"/>
      <c r="AS281" s="28"/>
      <c r="AT281" s="28"/>
      <c r="AU281" s="28"/>
      <c r="AV281" s="28"/>
      <c r="AW281" s="109"/>
      <c r="AX281" s="28"/>
      <c r="AY281" s="141"/>
      <c r="AZ281" s="141"/>
      <c r="BA281" s="141"/>
      <c r="BB281" s="141"/>
      <c r="BC281" s="141"/>
      <c r="BD281" s="141"/>
      <c r="BE281" s="141"/>
      <c r="BF281" s="141"/>
      <c r="BG281" s="141"/>
      <c r="BH281" s="141"/>
      <c r="BI281" s="141"/>
      <c r="BJ281" s="141"/>
      <c r="BK281" s="141"/>
      <c r="BL281" s="141"/>
      <c r="BM281" s="141"/>
      <c r="BN281" s="141"/>
      <c r="BO281" s="141"/>
      <c r="BP281" s="141"/>
      <c r="BQ281" s="141"/>
      <c r="BR281" s="26"/>
    </row>
    <row r="282" spans="2:70" ht="22.2" thickBot="1" x14ac:dyDescent="0.5">
      <c r="B282" s="1" t="s">
        <v>256</v>
      </c>
      <c r="C282" s="2" t="s">
        <v>20</v>
      </c>
      <c r="D282" s="13">
        <v>40725</v>
      </c>
      <c r="E282" s="3">
        <v>4</v>
      </c>
      <c r="F282" s="4">
        <f t="shared" ref="F282:F287" si="421">+E282*$C$1</f>
        <v>2133.3200000000002</v>
      </c>
      <c r="G282" s="4">
        <f t="shared" ref="G282:G287" si="422">+BR282</f>
        <v>0</v>
      </c>
      <c r="H282" s="42">
        <f t="shared" ref="H282:H287" si="423">+F282+G282</f>
        <v>2133.3200000000002</v>
      </c>
      <c r="I282" s="6">
        <v>12</v>
      </c>
      <c r="J282" s="86"/>
      <c r="K282" s="7"/>
      <c r="L282" s="41">
        <v>44378</v>
      </c>
      <c r="M282" s="37"/>
      <c r="N282" s="9" t="s">
        <v>309</v>
      </c>
      <c r="W282" s="1" t="s">
        <v>256</v>
      </c>
      <c r="X282" s="50">
        <v>0</v>
      </c>
      <c r="Y282" s="48">
        <v>0</v>
      </c>
      <c r="Z282" s="49">
        <v>0</v>
      </c>
      <c r="AA282" s="49">
        <v>108</v>
      </c>
      <c r="AB282" s="49">
        <v>150</v>
      </c>
      <c r="AC282" s="31">
        <v>281.39999999999998</v>
      </c>
      <c r="AD282" s="28">
        <f t="shared" ref="AD282:AD287" si="424">+AC282-AB282</f>
        <v>131.39999999999998</v>
      </c>
      <c r="AE282" s="52">
        <v>54</v>
      </c>
      <c r="AF282" s="52">
        <f>+(0)+(0)+(0)+(108)+(0)+(108)</f>
        <v>216</v>
      </c>
      <c r="AG282" s="49">
        <v>150</v>
      </c>
      <c r="AH282" s="22">
        <f t="shared" ref="AH282:AH287" si="425">+AD282+(AE282+AF282)-AG282</f>
        <v>251.39999999999998</v>
      </c>
      <c r="AI282" s="52">
        <f t="shared" si="47"/>
        <v>0</v>
      </c>
      <c r="AJ282" s="52">
        <f t="shared" si="47"/>
        <v>0</v>
      </c>
      <c r="AK282" s="49">
        <v>150</v>
      </c>
      <c r="AL282" s="28">
        <f t="shared" ref="AL282:AL287" si="426">+AH282+AI282+AJ282-AK282</f>
        <v>101.39999999999998</v>
      </c>
      <c r="AM282" s="22"/>
      <c r="AN282" s="22"/>
      <c r="AO282" s="22"/>
      <c r="AP282" s="22"/>
      <c r="AQ282" s="22"/>
      <c r="AR282" s="22"/>
      <c r="AS282" s="22"/>
      <c r="AT282" s="22"/>
      <c r="AU282" s="22"/>
      <c r="AV282" s="22"/>
      <c r="AW282" s="109"/>
      <c r="AX282" s="22"/>
      <c r="AY282" s="140"/>
      <c r="AZ282" s="140"/>
      <c r="BA282" s="140"/>
      <c r="BB282" s="140"/>
      <c r="BC282" s="140"/>
      <c r="BD282" s="140"/>
      <c r="BE282" s="140"/>
      <c r="BF282" s="140"/>
      <c r="BG282" s="140"/>
      <c r="BH282" s="140"/>
      <c r="BI282" s="140"/>
      <c r="BJ282" s="140"/>
      <c r="BK282" s="140"/>
      <c r="BL282" s="140"/>
      <c r="BM282" s="140"/>
      <c r="BN282" s="140"/>
      <c r="BO282" s="140"/>
      <c r="BP282" s="140"/>
      <c r="BQ282" s="140"/>
      <c r="BR282" s="26"/>
    </row>
    <row r="283" spans="2:70" ht="22.2" thickBot="1" x14ac:dyDescent="0.5">
      <c r="B283" s="1" t="s">
        <v>226</v>
      </c>
      <c r="C283" s="2" t="s">
        <v>19</v>
      </c>
      <c r="D283" s="18">
        <v>42978</v>
      </c>
      <c r="E283" s="3">
        <v>1</v>
      </c>
      <c r="F283" s="4">
        <f t="shared" si="421"/>
        <v>533.33000000000004</v>
      </c>
      <c r="G283" s="4">
        <f t="shared" si="422"/>
        <v>0</v>
      </c>
      <c r="H283" s="42">
        <f t="shared" si="423"/>
        <v>533.33000000000004</v>
      </c>
      <c r="I283" s="6">
        <v>14</v>
      </c>
      <c r="J283" s="86"/>
      <c r="K283" s="7"/>
      <c r="L283" s="41">
        <v>44439</v>
      </c>
      <c r="M283" s="37"/>
      <c r="N283" s="9" t="s">
        <v>309</v>
      </c>
      <c r="W283" s="1" t="s">
        <v>226</v>
      </c>
      <c r="X283" s="50">
        <v>0</v>
      </c>
      <c r="Y283" s="48">
        <v>0</v>
      </c>
      <c r="Z283" s="49">
        <v>96</v>
      </c>
      <c r="AA283" s="49">
        <v>120</v>
      </c>
      <c r="AB283" s="49">
        <v>78</v>
      </c>
      <c r="AC283" s="31">
        <v>78</v>
      </c>
      <c r="AD283" s="28">
        <f t="shared" si="424"/>
        <v>0</v>
      </c>
      <c r="AE283" s="52">
        <v>132</v>
      </c>
      <c r="AF283" s="52">
        <f>+(0)+(0)+(0)+(0)+(0)+(162)</f>
        <v>162</v>
      </c>
      <c r="AG283" s="49">
        <v>120</v>
      </c>
      <c r="AH283" s="22">
        <f t="shared" si="425"/>
        <v>174</v>
      </c>
      <c r="AI283" s="52">
        <f t="shared" si="81"/>
        <v>0</v>
      </c>
      <c r="AJ283" s="52">
        <f t="shared" si="81"/>
        <v>0</v>
      </c>
      <c r="AK283" s="49">
        <v>120</v>
      </c>
      <c r="AL283" s="28">
        <f t="shared" si="426"/>
        <v>54</v>
      </c>
      <c r="AM283" s="22"/>
      <c r="AN283" s="22"/>
      <c r="AO283" s="22"/>
      <c r="AP283" s="22"/>
      <c r="AQ283" s="22"/>
      <c r="AR283" s="22"/>
      <c r="AS283" s="22"/>
      <c r="AT283" s="22"/>
      <c r="AU283" s="22"/>
      <c r="AV283" s="22"/>
      <c r="AW283" s="109"/>
      <c r="AX283" s="22"/>
      <c r="AY283" s="140"/>
      <c r="AZ283" s="140"/>
      <c r="BA283" s="140"/>
      <c r="BB283" s="140"/>
      <c r="BC283" s="140"/>
      <c r="BD283" s="140"/>
      <c r="BE283" s="140"/>
      <c r="BF283" s="140"/>
      <c r="BG283" s="140"/>
      <c r="BH283" s="140"/>
      <c r="BI283" s="140"/>
      <c r="BJ283" s="140"/>
      <c r="BK283" s="140"/>
      <c r="BL283" s="140"/>
      <c r="BM283" s="140"/>
      <c r="BN283" s="140"/>
      <c r="BO283" s="140"/>
      <c r="BP283" s="140"/>
      <c r="BQ283" s="140"/>
      <c r="BR283" s="26"/>
    </row>
    <row r="284" spans="2:70" ht="22.2" thickBot="1" x14ac:dyDescent="0.5">
      <c r="B284" s="1" t="s">
        <v>262</v>
      </c>
      <c r="C284" s="2" t="s">
        <v>20</v>
      </c>
      <c r="D284" s="18">
        <v>43556</v>
      </c>
      <c r="E284" s="3">
        <v>2</v>
      </c>
      <c r="F284" s="4">
        <f t="shared" si="421"/>
        <v>1066.6600000000001</v>
      </c>
      <c r="G284" s="4">
        <f t="shared" si="422"/>
        <v>0</v>
      </c>
      <c r="H284" s="42">
        <f t="shared" si="423"/>
        <v>1066.6600000000001</v>
      </c>
      <c r="I284" s="6">
        <v>14</v>
      </c>
      <c r="J284" s="86"/>
      <c r="K284" s="7"/>
      <c r="L284" s="41">
        <v>44423</v>
      </c>
      <c r="M284" s="37"/>
      <c r="N284" s="9" t="s">
        <v>309</v>
      </c>
      <c r="W284" s="1" t="s">
        <v>262</v>
      </c>
      <c r="X284" s="50">
        <v>0</v>
      </c>
      <c r="Y284" s="48">
        <v>0</v>
      </c>
      <c r="Z284" s="49">
        <v>0</v>
      </c>
      <c r="AA284" s="49">
        <v>0</v>
      </c>
      <c r="AB284" s="49">
        <v>78</v>
      </c>
      <c r="AC284" s="31">
        <v>78</v>
      </c>
      <c r="AD284" s="28">
        <f t="shared" si="424"/>
        <v>0</v>
      </c>
      <c r="AE284" s="52">
        <v>183.6</v>
      </c>
      <c r="AF284" s="52">
        <f>+(30)+(0)+(0)+(0)+(0)+(162)</f>
        <v>192</v>
      </c>
      <c r="AG284" s="49">
        <v>150</v>
      </c>
      <c r="AH284" s="22">
        <f t="shared" si="425"/>
        <v>225.60000000000002</v>
      </c>
      <c r="AI284" s="52">
        <f t="shared" si="81"/>
        <v>0</v>
      </c>
      <c r="AJ284" s="52">
        <f t="shared" si="81"/>
        <v>0</v>
      </c>
      <c r="AK284" s="49">
        <v>150</v>
      </c>
      <c r="AL284" s="28">
        <f t="shared" si="426"/>
        <v>75.600000000000023</v>
      </c>
      <c r="AM284" s="22"/>
      <c r="AN284" s="22"/>
      <c r="AO284" s="22"/>
      <c r="AP284" s="22"/>
      <c r="AQ284" s="22"/>
      <c r="AR284" s="22"/>
      <c r="AS284" s="22"/>
      <c r="AT284" s="22"/>
      <c r="AU284" s="22"/>
      <c r="AV284" s="22"/>
      <c r="AW284" s="109"/>
      <c r="AX284" s="22"/>
      <c r="AY284" s="140"/>
      <c r="AZ284" s="140"/>
      <c r="BA284" s="140"/>
      <c r="BB284" s="140"/>
      <c r="BC284" s="140"/>
      <c r="BD284" s="140"/>
      <c r="BE284" s="140"/>
      <c r="BF284" s="140"/>
      <c r="BG284" s="140"/>
      <c r="BH284" s="140"/>
      <c r="BI284" s="140"/>
      <c r="BJ284" s="140"/>
      <c r="BK284" s="140"/>
      <c r="BL284" s="140"/>
      <c r="BM284" s="140"/>
      <c r="BN284" s="140"/>
      <c r="BO284" s="140"/>
      <c r="BP284" s="140"/>
      <c r="BQ284" s="140"/>
      <c r="BR284" s="26"/>
    </row>
    <row r="285" spans="2:70" ht="22.2" thickBot="1" x14ac:dyDescent="0.5">
      <c r="B285" s="1" t="s">
        <v>312</v>
      </c>
      <c r="C285" s="2" t="s">
        <v>19</v>
      </c>
      <c r="D285" s="13">
        <v>43984</v>
      </c>
      <c r="E285" s="3">
        <v>0</v>
      </c>
      <c r="F285" s="4">
        <f t="shared" si="421"/>
        <v>0</v>
      </c>
      <c r="G285" s="4">
        <f t="shared" si="422"/>
        <v>0</v>
      </c>
      <c r="H285" s="42">
        <f t="shared" si="423"/>
        <v>0</v>
      </c>
      <c r="I285" s="6">
        <v>15</v>
      </c>
      <c r="J285" s="86"/>
      <c r="K285" s="7"/>
      <c r="L285" s="41">
        <v>44714</v>
      </c>
      <c r="M285" s="37"/>
      <c r="N285" s="9" t="s">
        <v>309</v>
      </c>
      <c r="W285" s="1" t="s">
        <v>312</v>
      </c>
      <c r="X285" s="50">
        <v>0</v>
      </c>
      <c r="Y285" s="48">
        <v>0</v>
      </c>
      <c r="Z285" s="49">
        <v>0</v>
      </c>
      <c r="AA285" s="49">
        <v>0</v>
      </c>
      <c r="AB285" s="49">
        <v>0</v>
      </c>
      <c r="AC285" s="31">
        <v>0</v>
      </c>
      <c r="AD285" s="28">
        <f t="shared" si="424"/>
        <v>0</v>
      </c>
      <c r="AE285" s="52">
        <v>0</v>
      </c>
      <c r="AF285" s="52">
        <f t="shared" si="80"/>
        <v>0</v>
      </c>
      <c r="AG285" s="49">
        <v>0</v>
      </c>
      <c r="AH285" s="22">
        <f t="shared" si="425"/>
        <v>0</v>
      </c>
      <c r="AI285" s="52">
        <f t="shared" si="47"/>
        <v>0</v>
      </c>
      <c r="AJ285" s="52">
        <f t="shared" si="47"/>
        <v>0</v>
      </c>
      <c r="AK285" s="49">
        <v>0</v>
      </c>
      <c r="AL285" s="61">
        <f t="shared" si="426"/>
        <v>0</v>
      </c>
      <c r="AM285" s="22"/>
      <c r="AN285" s="22"/>
      <c r="AO285" s="22"/>
      <c r="AP285" s="22"/>
      <c r="AQ285" s="22"/>
      <c r="AR285" s="22"/>
      <c r="AS285" s="22"/>
      <c r="AT285" s="22"/>
      <c r="AU285" s="22"/>
      <c r="AV285" s="22"/>
      <c r="AW285" s="109"/>
      <c r="AX285" s="22"/>
      <c r="AY285" s="140"/>
      <c r="AZ285" s="140"/>
      <c r="BA285" s="140"/>
      <c r="BB285" s="140"/>
      <c r="BC285" s="140"/>
      <c r="BD285" s="140"/>
      <c r="BE285" s="140"/>
      <c r="BF285" s="140"/>
      <c r="BG285" s="140"/>
      <c r="BH285" s="140"/>
      <c r="BI285" s="140"/>
      <c r="BJ285" s="140"/>
      <c r="BK285" s="140"/>
      <c r="BL285" s="140"/>
      <c r="BM285" s="140"/>
      <c r="BN285" s="140"/>
      <c r="BO285" s="140"/>
      <c r="BP285" s="140"/>
      <c r="BQ285" s="140"/>
      <c r="BR285" s="26"/>
    </row>
    <row r="286" spans="2:70" ht="22.2" thickBot="1" x14ac:dyDescent="0.5">
      <c r="B286" s="1" t="s">
        <v>317</v>
      </c>
      <c r="C286" s="2" t="s">
        <v>19</v>
      </c>
      <c r="D286" s="13">
        <v>43999</v>
      </c>
      <c r="E286" s="3">
        <v>0</v>
      </c>
      <c r="F286" s="4">
        <f t="shared" si="421"/>
        <v>0</v>
      </c>
      <c r="G286" s="4">
        <f t="shared" si="422"/>
        <v>0</v>
      </c>
      <c r="H286" s="42">
        <f t="shared" si="423"/>
        <v>0</v>
      </c>
      <c r="I286" s="6">
        <v>15</v>
      </c>
      <c r="J286" s="86"/>
      <c r="K286" s="7"/>
      <c r="L286" s="41">
        <v>44729</v>
      </c>
      <c r="M286" s="37"/>
      <c r="N286" s="9" t="s">
        <v>309</v>
      </c>
      <c r="W286" s="1" t="s">
        <v>317</v>
      </c>
      <c r="X286" s="50">
        <v>0</v>
      </c>
      <c r="Y286" s="48">
        <v>0</v>
      </c>
      <c r="Z286" s="49">
        <v>0</v>
      </c>
      <c r="AA286" s="49">
        <v>0</v>
      </c>
      <c r="AB286" s="49">
        <v>0</v>
      </c>
      <c r="AC286" s="31">
        <v>0</v>
      </c>
      <c r="AD286" s="28">
        <f t="shared" si="424"/>
        <v>0</v>
      </c>
      <c r="AE286" s="52">
        <v>0</v>
      </c>
      <c r="AF286" s="52">
        <f t="shared" si="240"/>
        <v>0</v>
      </c>
      <c r="AG286" s="49">
        <v>0</v>
      </c>
      <c r="AH286" s="22">
        <f t="shared" si="425"/>
        <v>0</v>
      </c>
      <c r="AI286" s="52">
        <f t="shared" si="81"/>
        <v>0</v>
      </c>
      <c r="AJ286" s="52">
        <f t="shared" si="81"/>
        <v>0</v>
      </c>
      <c r="AK286" s="49">
        <v>0</v>
      </c>
      <c r="AL286" s="61">
        <f t="shared" si="426"/>
        <v>0</v>
      </c>
      <c r="AM286" s="22"/>
      <c r="AN286" s="22"/>
      <c r="AO286" s="22"/>
      <c r="AP286" s="22"/>
      <c r="AQ286" s="22"/>
      <c r="AR286" s="22"/>
      <c r="AS286" s="22"/>
      <c r="AT286" s="22"/>
      <c r="AU286" s="22"/>
      <c r="AV286" s="22"/>
      <c r="AW286" s="109"/>
      <c r="AX286" s="22"/>
      <c r="AY286" s="140"/>
      <c r="AZ286" s="140"/>
      <c r="BA286" s="140"/>
      <c r="BB286" s="140"/>
      <c r="BC286" s="140"/>
      <c r="BD286" s="140"/>
      <c r="BE286" s="140"/>
      <c r="BF286" s="140"/>
      <c r="BG286" s="140"/>
      <c r="BH286" s="140"/>
      <c r="BI286" s="140"/>
      <c r="BJ286" s="140"/>
      <c r="BK286" s="140"/>
      <c r="BL286" s="140"/>
      <c r="BM286" s="140"/>
      <c r="BN286" s="140"/>
      <c r="BO286" s="140"/>
      <c r="BP286" s="140"/>
      <c r="BQ286" s="140"/>
      <c r="BR286" s="26"/>
    </row>
    <row r="287" spans="2:70" ht="22.2" thickBot="1" x14ac:dyDescent="0.5">
      <c r="B287" s="1" t="s">
        <v>327</v>
      </c>
      <c r="C287" s="2" t="s">
        <v>21</v>
      </c>
      <c r="D287" s="18">
        <v>44197</v>
      </c>
      <c r="E287" s="3">
        <v>0</v>
      </c>
      <c r="F287" s="4">
        <f t="shared" si="421"/>
        <v>0</v>
      </c>
      <c r="G287" s="4">
        <f t="shared" si="422"/>
        <v>0</v>
      </c>
      <c r="H287" s="42">
        <f t="shared" si="423"/>
        <v>0</v>
      </c>
      <c r="I287" s="6">
        <v>15</v>
      </c>
      <c r="J287" s="86"/>
      <c r="K287" s="7"/>
      <c r="L287" s="41">
        <v>44927</v>
      </c>
      <c r="M287" s="37"/>
      <c r="N287" s="9" t="s">
        <v>309</v>
      </c>
      <c r="W287" s="1" t="s">
        <v>328</v>
      </c>
      <c r="X287" s="50">
        <v>0</v>
      </c>
      <c r="Y287" s="48">
        <v>0</v>
      </c>
      <c r="Z287" s="49">
        <v>0</v>
      </c>
      <c r="AA287" s="49">
        <v>0</v>
      </c>
      <c r="AB287" s="49">
        <v>0</v>
      </c>
      <c r="AC287" s="31">
        <v>0</v>
      </c>
      <c r="AD287" s="28">
        <f t="shared" si="424"/>
        <v>0</v>
      </c>
      <c r="AE287" s="52">
        <v>0</v>
      </c>
      <c r="AF287" s="52">
        <v>0</v>
      </c>
      <c r="AG287" s="49">
        <v>0</v>
      </c>
      <c r="AH287" s="22">
        <f t="shared" si="425"/>
        <v>0</v>
      </c>
      <c r="AI287" s="52">
        <f t="shared" si="81"/>
        <v>0</v>
      </c>
      <c r="AJ287" s="52">
        <f t="shared" si="81"/>
        <v>0</v>
      </c>
      <c r="AK287" s="49">
        <v>0</v>
      </c>
      <c r="AL287" s="61">
        <f t="shared" si="426"/>
        <v>0</v>
      </c>
      <c r="AM287" s="22"/>
      <c r="AN287" s="22"/>
      <c r="AO287" s="22"/>
      <c r="AP287" s="22"/>
      <c r="AQ287" s="22"/>
      <c r="AR287" s="22"/>
      <c r="AS287" s="22"/>
      <c r="AT287" s="22"/>
      <c r="AU287" s="22"/>
      <c r="AV287" s="22"/>
      <c r="AW287" s="109"/>
      <c r="AX287" s="22"/>
      <c r="AY287" s="140"/>
      <c r="AZ287" s="140"/>
      <c r="BA287" s="140"/>
      <c r="BB287" s="140"/>
      <c r="BC287" s="140"/>
      <c r="BD287" s="140"/>
      <c r="BE287" s="140"/>
      <c r="BF287" s="140"/>
      <c r="BG287" s="140"/>
      <c r="BH287" s="140"/>
      <c r="BI287" s="140"/>
      <c r="BJ287" s="140"/>
      <c r="BK287" s="140"/>
      <c r="BL287" s="140"/>
      <c r="BM287" s="140"/>
      <c r="BN287" s="140"/>
      <c r="BO287" s="140"/>
      <c r="BP287" s="140"/>
      <c r="BQ287" s="140"/>
      <c r="BR287" s="26"/>
    </row>
    <row r="288" spans="2:70" ht="22.8" thickBot="1" x14ac:dyDescent="0.55000000000000004">
      <c r="B288" s="1" t="s">
        <v>329</v>
      </c>
      <c r="C288" s="2" t="s">
        <v>23</v>
      </c>
      <c r="D288" s="18">
        <v>44228</v>
      </c>
      <c r="E288" s="3">
        <v>0</v>
      </c>
      <c r="F288" s="4">
        <f>+E288*$C$1</f>
        <v>0</v>
      </c>
      <c r="G288" s="4">
        <f>+BR288</f>
        <v>30</v>
      </c>
      <c r="H288" s="42">
        <f>+F288+G288</f>
        <v>30</v>
      </c>
      <c r="I288" s="6">
        <v>15</v>
      </c>
      <c r="J288" s="86"/>
      <c r="K288" s="7"/>
      <c r="L288" s="41">
        <v>44958</v>
      </c>
      <c r="M288" s="37"/>
      <c r="N288" s="9" t="s">
        <v>309</v>
      </c>
      <c r="W288" s="1" t="s">
        <v>329</v>
      </c>
      <c r="X288" s="50">
        <v>0</v>
      </c>
      <c r="Y288" s="48">
        <v>0</v>
      </c>
      <c r="Z288" s="49">
        <v>0</v>
      </c>
      <c r="AA288" s="49">
        <v>0</v>
      </c>
      <c r="AB288" s="49">
        <v>0</v>
      </c>
      <c r="AC288" s="31">
        <v>0</v>
      </c>
      <c r="AD288" s="28">
        <f t="shared" ref="AD288:AD293" si="427">+AC288-AB288</f>
        <v>0</v>
      </c>
      <c r="AE288" s="52">
        <v>0</v>
      </c>
      <c r="AF288" s="52">
        <v>0</v>
      </c>
      <c r="AG288" s="49">
        <v>0</v>
      </c>
      <c r="AH288" s="22">
        <f t="shared" ref="AH288:AH293" si="428">+AD288+(AE288+AF288)-AG288</f>
        <v>0</v>
      </c>
      <c r="AI288" s="52">
        <f t="shared" si="47"/>
        <v>0</v>
      </c>
      <c r="AJ288" s="52">
        <f t="shared" si="47"/>
        <v>0</v>
      </c>
      <c r="AK288" s="49">
        <v>0</v>
      </c>
      <c r="AL288" s="61">
        <f t="shared" ref="AL288:AL293" si="429">+AH288+AI288+AJ288-AK288</f>
        <v>0</v>
      </c>
      <c r="AM288" s="52">
        <f>+(0)+(0)+(0)+(0)+(0)+(0)</f>
        <v>0</v>
      </c>
      <c r="AN288" s="52">
        <f>+(0)+(0)+(0)+(0)+(30)+(0)</f>
        <v>30</v>
      </c>
      <c r="AO288" s="72">
        <v>30</v>
      </c>
      <c r="AP288" s="74">
        <f t="shared" ref="AP288" si="430">+AL288+AM288+AN288-AO288</f>
        <v>0</v>
      </c>
      <c r="AQ288" s="22"/>
      <c r="AR288" s="22"/>
      <c r="AS288" s="22"/>
      <c r="AT288" s="22"/>
      <c r="AU288" s="22"/>
      <c r="AV288" s="22"/>
      <c r="AW288" s="109"/>
      <c r="AX288" s="22"/>
      <c r="AY288" s="140"/>
      <c r="AZ288" s="140"/>
      <c r="BA288" s="140"/>
      <c r="BB288" s="140"/>
      <c r="BC288" s="140"/>
      <c r="BD288" s="140"/>
      <c r="BE288" s="140"/>
      <c r="BF288" s="140"/>
      <c r="BG288" s="140"/>
      <c r="BH288" s="140"/>
      <c r="BI288" s="140"/>
      <c r="BJ288" s="140"/>
      <c r="BK288" s="140"/>
      <c r="BL288" s="140"/>
      <c r="BM288" s="140"/>
      <c r="BN288" s="140"/>
      <c r="BO288" s="140"/>
      <c r="BP288" s="140"/>
      <c r="BQ288" s="140"/>
      <c r="BR288" s="26">
        <f>SUM(X288:AA288)+AB288+AG288+AK288+AO288</f>
        <v>30</v>
      </c>
    </row>
    <row r="289" spans="2:70" ht="22.2" thickBot="1" x14ac:dyDescent="0.5">
      <c r="B289" s="1" t="s">
        <v>91</v>
      </c>
      <c r="C289" s="2" t="s">
        <v>171</v>
      </c>
      <c r="D289" s="10" t="s">
        <v>135</v>
      </c>
      <c r="E289" s="3">
        <v>6</v>
      </c>
      <c r="F289" s="4">
        <f>+E289*$C$1</f>
        <v>3199.9800000000005</v>
      </c>
      <c r="G289" s="4">
        <f>+BR289</f>
        <v>0</v>
      </c>
      <c r="H289" s="42">
        <f>+F289+G289</f>
        <v>3199.9800000000005</v>
      </c>
      <c r="I289" s="6">
        <v>9</v>
      </c>
      <c r="J289" s="86"/>
      <c r="K289" s="7"/>
      <c r="L289" s="41">
        <v>44910</v>
      </c>
      <c r="M289" s="37"/>
      <c r="N289" s="9" t="s">
        <v>309</v>
      </c>
      <c r="W289" s="1" t="s">
        <v>91</v>
      </c>
      <c r="X289" s="50">
        <v>870</v>
      </c>
      <c r="Y289" s="48">
        <v>120</v>
      </c>
      <c r="Z289" s="49">
        <v>120</v>
      </c>
      <c r="AA289" s="49">
        <v>120</v>
      </c>
      <c r="AB289" s="49">
        <v>78</v>
      </c>
      <c r="AC289" s="31">
        <v>78</v>
      </c>
      <c r="AD289" s="28">
        <f t="shared" si="427"/>
        <v>0</v>
      </c>
      <c r="AE289" s="52">
        <f>295.2+78</f>
        <v>373.2</v>
      </c>
      <c r="AF289" s="52">
        <f>+(0)+(0)+(0)+(0)+(0)+(162)</f>
        <v>162</v>
      </c>
      <c r="AG289" s="49">
        <v>120</v>
      </c>
      <c r="AH289" s="22">
        <f t="shared" si="428"/>
        <v>415.20000000000005</v>
      </c>
      <c r="AI289" s="52">
        <f t="shared" si="81"/>
        <v>0</v>
      </c>
      <c r="AJ289" s="52">
        <f t="shared" si="81"/>
        <v>0</v>
      </c>
      <c r="AK289" s="49">
        <v>120</v>
      </c>
      <c r="AL289" s="61">
        <f t="shared" si="429"/>
        <v>295.20000000000005</v>
      </c>
      <c r="AM289" s="22"/>
      <c r="AN289" s="22"/>
      <c r="AO289" s="22"/>
      <c r="AP289" s="22"/>
      <c r="AQ289" s="22"/>
      <c r="AR289" s="22"/>
      <c r="AS289" s="22"/>
      <c r="AT289" s="22"/>
      <c r="AU289" s="22"/>
      <c r="AV289" s="22"/>
      <c r="AW289" s="109"/>
      <c r="AX289" s="22"/>
      <c r="AY289" s="140"/>
      <c r="AZ289" s="140"/>
      <c r="BA289" s="140"/>
      <c r="BB289" s="140"/>
      <c r="BC289" s="140"/>
      <c r="BD289" s="140"/>
      <c r="BE289" s="140"/>
      <c r="BF289" s="140"/>
      <c r="BG289" s="140"/>
      <c r="BH289" s="140"/>
      <c r="BI289" s="140"/>
      <c r="BJ289" s="140"/>
      <c r="BK289" s="140"/>
      <c r="BL289" s="140"/>
      <c r="BM289" s="140"/>
      <c r="BN289" s="140"/>
      <c r="BO289" s="140"/>
      <c r="BP289" s="140"/>
      <c r="BQ289" s="140"/>
      <c r="BR289" s="26"/>
    </row>
    <row r="290" spans="2:70" ht="22.2" thickBot="1" x14ac:dyDescent="0.5">
      <c r="B290" s="1" t="s">
        <v>206</v>
      </c>
      <c r="C290" s="2" t="s">
        <v>19</v>
      </c>
      <c r="D290" s="13">
        <v>42540</v>
      </c>
      <c r="E290" s="3">
        <v>2</v>
      </c>
      <c r="F290" s="4">
        <f>+E290*$C$1</f>
        <v>1066.6600000000001</v>
      </c>
      <c r="G290" s="4">
        <f>+BR290</f>
        <v>0</v>
      </c>
      <c r="H290" s="42">
        <f>+F290+G290</f>
        <v>1066.6600000000001</v>
      </c>
      <c r="I290" s="6">
        <v>13</v>
      </c>
      <c r="J290" s="86"/>
      <c r="K290" s="7"/>
      <c r="L290" s="41">
        <v>44731</v>
      </c>
      <c r="M290" s="37"/>
      <c r="N290" s="9" t="s">
        <v>309</v>
      </c>
      <c r="W290" s="1" t="s">
        <v>206</v>
      </c>
      <c r="X290" s="50">
        <v>0</v>
      </c>
      <c r="Y290" s="48">
        <v>96</v>
      </c>
      <c r="Z290" s="49">
        <v>96</v>
      </c>
      <c r="AA290" s="49">
        <v>120</v>
      </c>
      <c r="AB290" s="49">
        <v>54.6</v>
      </c>
      <c r="AC290" s="31">
        <v>54.6</v>
      </c>
      <c r="AD290" s="28">
        <f t="shared" si="427"/>
        <v>0</v>
      </c>
      <c r="AE290" s="52">
        <v>0</v>
      </c>
      <c r="AF290" s="52">
        <f>+(0)+(78)+(0)+(0)+(54)+(54)</f>
        <v>186</v>
      </c>
      <c r="AG290" s="49">
        <v>120</v>
      </c>
      <c r="AH290" s="22">
        <f t="shared" si="428"/>
        <v>66</v>
      </c>
      <c r="AI290" s="52">
        <f t="shared" si="47"/>
        <v>0</v>
      </c>
      <c r="AJ290" s="52">
        <f t="shared" si="47"/>
        <v>0</v>
      </c>
      <c r="AK290" s="49">
        <v>66</v>
      </c>
      <c r="AL290" s="65">
        <f t="shared" si="429"/>
        <v>0</v>
      </c>
      <c r="AM290" s="22"/>
      <c r="AN290" s="22"/>
      <c r="AO290" s="22"/>
      <c r="AP290" s="22"/>
      <c r="AQ290" s="22"/>
      <c r="AR290" s="22"/>
      <c r="AS290" s="22"/>
      <c r="AT290" s="22"/>
      <c r="AU290" s="22"/>
      <c r="AV290" s="22"/>
      <c r="AW290" s="109"/>
      <c r="AX290" s="22"/>
      <c r="AY290" s="140"/>
      <c r="AZ290" s="140"/>
      <c r="BA290" s="140"/>
      <c r="BB290" s="140"/>
      <c r="BC290" s="140"/>
      <c r="BD290" s="140"/>
      <c r="BE290" s="140"/>
      <c r="BF290" s="140"/>
      <c r="BG290" s="140"/>
      <c r="BH290" s="140"/>
      <c r="BI290" s="140"/>
      <c r="BJ290" s="140"/>
      <c r="BK290" s="140"/>
      <c r="BL290" s="140"/>
      <c r="BM290" s="140"/>
      <c r="BN290" s="140"/>
      <c r="BO290" s="140"/>
      <c r="BP290" s="140"/>
      <c r="BQ290" s="140"/>
      <c r="BR290" s="26"/>
    </row>
    <row r="291" spans="2:70" ht="22.2" thickBot="1" x14ac:dyDescent="0.5">
      <c r="B291" s="1" t="s">
        <v>310</v>
      </c>
      <c r="C291" s="2" t="s">
        <v>19</v>
      </c>
      <c r="D291" s="13">
        <v>43987</v>
      </c>
      <c r="E291" s="3">
        <v>0</v>
      </c>
      <c r="F291" s="4">
        <f>+E291*$C$1</f>
        <v>0</v>
      </c>
      <c r="G291" s="4">
        <f>+BR291</f>
        <v>0</v>
      </c>
      <c r="H291" s="42">
        <f>+F291+G291</f>
        <v>0</v>
      </c>
      <c r="I291" s="6">
        <v>15</v>
      </c>
      <c r="J291" s="86"/>
      <c r="K291" s="7"/>
      <c r="L291" s="39">
        <v>44717</v>
      </c>
      <c r="M291" s="37"/>
      <c r="N291" s="9" t="s">
        <v>309</v>
      </c>
      <c r="W291" s="1" t="s">
        <v>310</v>
      </c>
      <c r="X291" s="47">
        <v>0</v>
      </c>
      <c r="Y291" s="48">
        <v>0</v>
      </c>
      <c r="Z291" s="49">
        <v>0</v>
      </c>
      <c r="AA291" s="49">
        <v>0</v>
      </c>
      <c r="AB291" s="49">
        <v>0</v>
      </c>
      <c r="AC291" s="31">
        <v>0</v>
      </c>
      <c r="AD291" s="28">
        <f t="shared" si="427"/>
        <v>0</v>
      </c>
      <c r="AE291" s="52">
        <v>0</v>
      </c>
      <c r="AF291" s="52">
        <f>+(0)+(0)+(0)+(0)+(54)+(108)</f>
        <v>162</v>
      </c>
      <c r="AG291" s="49">
        <v>120</v>
      </c>
      <c r="AH291" s="22">
        <f t="shared" si="428"/>
        <v>42</v>
      </c>
      <c r="AI291" s="52">
        <f>+(0)+(0)+(0)+(0)+(0)+(0)</f>
        <v>0</v>
      </c>
      <c r="AJ291" s="52">
        <f>+(0)+(0)+(0)+(0)+(0)+(0)</f>
        <v>0</v>
      </c>
      <c r="AK291" s="49">
        <v>42</v>
      </c>
      <c r="AL291" s="61">
        <f t="shared" si="429"/>
        <v>0</v>
      </c>
      <c r="AM291" s="52"/>
      <c r="AN291" s="52"/>
      <c r="AO291" s="49"/>
      <c r="AP291" s="28"/>
      <c r="AQ291" s="28"/>
      <c r="AR291" s="28"/>
      <c r="AS291" s="28"/>
      <c r="AT291" s="28"/>
      <c r="AU291" s="28"/>
      <c r="AV291" s="28"/>
      <c r="AW291" s="109"/>
      <c r="AX291" s="28"/>
      <c r="AY291" s="141"/>
      <c r="AZ291" s="141"/>
      <c r="BA291" s="141"/>
      <c r="BB291" s="141"/>
      <c r="BC291" s="141"/>
      <c r="BD291" s="141"/>
      <c r="BE291" s="141"/>
      <c r="BF291" s="141"/>
      <c r="BG291" s="141"/>
      <c r="BH291" s="141"/>
      <c r="BI291" s="141"/>
      <c r="BJ291" s="141"/>
      <c r="BK291" s="141"/>
      <c r="BL291" s="141"/>
      <c r="BM291" s="141"/>
      <c r="BN291" s="141"/>
      <c r="BO291" s="141"/>
      <c r="BP291" s="141"/>
      <c r="BQ291" s="141"/>
      <c r="BR291" s="26"/>
    </row>
    <row r="292" spans="2:70" ht="22.2" thickBot="1" x14ac:dyDescent="0.5">
      <c r="B292" s="1" t="s">
        <v>265</v>
      </c>
      <c r="C292" s="2" t="s">
        <v>21</v>
      </c>
      <c r="D292" s="18">
        <v>43563</v>
      </c>
      <c r="E292" s="3">
        <v>3</v>
      </c>
      <c r="F292" s="4">
        <f t="shared" ref="F292" si="431">+E292*$C$1</f>
        <v>1599.9900000000002</v>
      </c>
      <c r="G292" s="4">
        <f t="shared" ref="G292" si="432">+BR292</f>
        <v>0</v>
      </c>
      <c r="H292" s="42">
        <f t="shared" ref="H292" si="433">+F292+G292</f>
        <v>1599.9900000000002</v>
      </c>
      <c r="I292" s="6">
        <v>12</v>
      </c>
      <c r="J292" s="86"/>
      <c r="K292" s="7"/>
      <c r="L292" s="41">
        <v>44563</v>
      </c>
      <c r="M292" s="37"/>
      <c r="N292" s="9" t="s">
        <v>309</v>
      </c>
      <c r="W292" s="1" t="s">
        <v>265</v>
      </c>
      <c r="X292" s="50">
        <v>690</v>
      </c>
      <c r="Y292" s="48">
        <v>0</v>
      </c>
      <c r="Z292" s="49">
        <v>0</v>
      </c>
      <c r="AA292" s="49">
        <v>0</v>
      </c>
      <c r="AB292" s="49">
        <v>150</v>
      </c>
      <c r="AC292" s="31">
        <v>156</v>
      </c>
      <c r="AD292" s="28">
        <f t="shared" si="427"/>
        <v>6</v>
      </c>
      <c r="AE292" s="52">
        <v>0</v>
      </c>
      <c r="AF292" s="52">
        <f>+(84)+(0)+(0)+(0)+(0)+(54)</f>
        <v>138</v>
      </c>
      <c r="AG292" s="49">
        <v>144</v>
      </c>
      <c r="AH292" s="22">
        <f t="shared" si="428"/>
        <v>0</v>
      </c>
      <c r="AI292" s="52">
        <f t="shared" si="81"/>
        <v>0</v>
      </c>
      <c r="AJ292" s="52">
        <f t="shared" si="81"/>
        <v>0</v>
      </c>
      <c r="AK292" s="49">
        <v>0</v>
      </c>
      <c r="AL292" s="66">
        <f t="shared" si="429"/>
        <v>0</v>
      </c>
      <c r="AM292" s="22"/>
      <c r="AN292" s="22"/>
      <c r="AO292" s="22"/>
      <c r="AP292" s="22"/>
      <c r="AQ292" s="22"/>
      <c r="AR292" s="22"/>
      <c r="AS292" s="22"/>
      <c r="AT292" s="22"/>
      <c r="AU292" s="22"/>
      <c r="AV292" s="22"/>
      <c r="AW292" s="109"/>
      <c r="AX292" s="22"/>
      <c r="AY292" s="140"/>
      <c r="AZ292" s="140"/>
      <c r="BA292" s="140"/>
      <c r="BB292" s="140"/>
      <c r="BC292" s="140"/>
      <c r="BD292" s="140"/>
      <c r="BE292" s="140"/>
      <c r="BF292" s="140"/>
      <c r="BG292" s="140"/>
      <c r="BH292" s="140"/>
      <c r="BI292" s="140"/>
      <c r="BJ292" s="140"/>
      <c r="BK292" s="140"/>
      <c r="BL292" s="140"/>
      <c r="BM292" s="140"/>
      <c r="BN292" s="140"/>
      <c r="BO292" s="140"/>
      <c r="BP292" s="140"/>
      <c r="BQ292" s="140"/>
      <c r="BR292" s="26"/>
    </row>
    <row r="293" spans="2:70" ht="22.2" thickBot="1" x14ac:dyDescent="0.5">
      <c r="B293" s="1" t="s">
        <v>106</v>
      </c>
      <c r="C293" s="2" t="s">
        <v>21</v>
      </c>
      <c r="D293" s="1" t="s">
        <v>167</v>
      </c>
      <c r="E293" s="3">
        <v>9</v>
      </c>
      <c r="F293" s="4">
        <f>+E293*$C$1</f>
        <v>4799.97</v>
      </c>
      <c r="G293" s="4">
        <f>+BR293</f>
        <v>0</v>
      </c>
      <c r="H293" s="42">
        <f>+F293+G293</f>
        <v>4799.97</v>
      </c>
      <c r="I293" s="6">
        <v>7</v>
      </c>
      <c r="J293" s="86"/>
      <c r="K293" s="7"/>
      <c r="L293" s="41">
        <v>44835</v>
      </c>
      <c r="M293" s="37"/>
      <c r="N293" s="9" t="s">
        <v>309</v>
      </c>
      <c r="W293" s="1" t="s">
        <v>106</v>
      </c>
      <c r="X293" s="50">
        <v>1227</v>
      </c>
      <c r="Y293" s="49">
        <v>150</v>
      </c>
      <c r="Z293" s="49">
        <v>150</v>
      </c>
      <c r="AA293" s="49">
        <v>150</v>
      </c>
      <c r="AB293" s="49">
        <v>150</v>
      </c>
      <c r="AC293" s="31">
        <v>270.60000000000002</v>
      </c>
      <c r="AD293" s="28">
        <f t="shared" si="427"/>
        <v>120.60000000000002</v>
      </c>
      <c r="AE293" s="52">
        <v>0</v>
      </c>
      <c r="AF293" s="52">
        <f t="shared" si="366"/>
        <v>0</v>
      </c>
      <c r="AG293" s="49">
        <v>120.6</v>
      </c>
      <c r="AH293" s="22">
        <f t="shared" si="428"/>
        <v>0</v>
      </c>
      <c r="AI293" s="52">
        <f t="shared" si="367"/>
        <v>0</v>
      </c>
      <c r="AJ293" s="52">
        <f t="shared" si="367"/>
        <v>0</v>
      </c>
      <c r="AK293" s="49">
        <v>0</v>
      </c>
      <c r="AL293" s="66">
        <f t="shared" si="429"/>
        <v>0</v>
      </c>
      <c r="AM293" s="22"/>
      <c r="AN293" s="22"/>
      <c r="AO293" s="22"/>
      <c r="AP293" s="22"/>
      <c r="AQ293" s="22"/>
      <c r="AR293" s="22"/>
      <c r="AS293" s="22"/>
      <c r="AT293" s="22"/>
      <c r="AU293" s="22"/>
      <c r="AV293" s="22"/>
      <c r="AW293" s="109"/>
      <c r="AX293" s="22"/>
      <c r="AY293" s="140"/>
      <c r="AZ293" s="140"/>
      <c r="BA293" s="140"/>
      <c r="BB293" s="140"/>
      <c r="BC293" s="140"/>
      <c r="BD293" s="140"/>
      <c r="BE293" s="140"/>
      <c r="BF293" s="140"/>
      <c r="BG293" s="140"/>
      <c r="BH293" s="140"/>
      <c r="BI293" s="140"/>
      <c r="BJ293" s="140"/>
      <c r="BK293" s="140"/>
      <c r="BL293" s="140"/>
      <c r="BM293" s="140"/>
      <c r="BN293" s="140"/>
      <c r="BO293" s="140"/>
      <c r="BP293" s="140"/>
      <c r="BQ293" s="140"/>
      <c r="BR293" s="26"/>
    </row>
    <row r="294" spans="2:70" ht="22.2" thickBot="1" x14ac:dyDescent="0.5">
      <c r="B294" s="1" t="s">
        <v>246</v>
      </c>
      <c r="C294" s="2" t="s">
        <v>20</v>
      </c>
      <c r="D294" s="13">
        <v>43221</v>
      </c>
      <c r="E294" s="3">
        <v>1</v>
      </c>
      <c r="F294" s="4">
        <f>+E294*$C$1</f>
        <v>533.33000000000004</v>
      </c>
      <c r="G294" s="4">
        <f>+BR294</f>
        <v>0</v>
      </c>
      <c r="H294" s="42">
        <f>+F294+G294</f>
        <v>533.33000000000004</v>
      </c>
      <c r="I294" s="6">
        <v>15</v>
      </c>
      <c r="J294" s="86"/>
      <c r="K294" s="7"/>
      <c r="L294" s="41">
        <v>44682</v>
      </c>
      <c r="M294" s="37"/>
      <c r="N294" s="9" t="s">
        <v>309</v>
      </c>
      <c r="W294" s="1" t="s">
        <v>246</v>
      </c>
      <c r="X294" s="50">
        <v>0</v>
      </c>
      <c r="Y294" s="48">
        <v>0</v>
      </c>
      <c r="Z294" s="49">
        <v>0</v>
      </c>
      <c r="AA294" s="49">
        <v>96</v>
      </c>
      <c r="AB294" s="49">
        <v>0</v>
      </c>
      <c r="AC294" s="31">
        <v>0</v>
      </c>
      <c r="AD294" s="28">
        <f>+AC294-AB294</f>
        <v>0</v>
      </c>
      <c r="AE294" s="52">
        <v>0</v>
      </c>
      <c r="AF294" s="52">
        <f t="shared" si="180"/>
        <v>0</v>
      </c>
      <c r="AG294" s="49">
        <v>0</v>
      </c>
      <c r="AH294" s="22">
        <f>+AD294+(AE294+AF294)-AG294</f>
        <v>0</v>
      </c>
      <c r="AI294" s="52">
        <f t="shared" si="81"/>
        <v>0</v>
      </c>
      <c r="AJ294" s="52">
        <f t="shared" si="81"/>
        <v>0</v>
      </c>
      <c r="AK294" s="49">
        <v>0</v>
      </c>
      <c r="AL294" s="67">
        <f>+AH294+AI294+AJ294-AK294</f>
        <v>0</v>
      </c>
      <c r="AM294" s="22"/>
      <c r="AN294" s="22"/>
      <c r="AO294" s="22"/>
      <c r="AP294" s="22"/>
      <c r="AQ294" s="22"/>
      <c r="AR294" s="22"/>
      <c r="AS294" s="22"/>
      <c r="AT294" s="22"/>
      <c r="AU294" s="22"/>
      <c r="AV294" s="22"/>
      <c r="AW294" s="109"/>
      <c r="AX294" s="22"/>
      <c r="AY294" s="140"/>
      <c r="AZ294" s="140"/>
      <c r="BA294" s="140"/>
      <c r="BB294" s="140"/>
      <c r="BC294" s="140"/>
      <c r="BD294" s="140"/>
      <c r="BE294" s="140"/>
      <c r="BF294" s="140"/>
      <c r="BG294" s="140"/>
      <c r="BH294" s="140"/>
      <c r="BI294" s="140"/>
      <c r="BJ294" s="140"/>
      <c r="BK294" s="140"/>
      <c r="BL294" s="140"/>
      <c r="BM294" s="140"/>
      <c r="BN294" s="140"/>
      <c r="BO294" s="140"/>
      <c r="BP294" s="140"/>
      <c r="BQ294" s="140"/>
      <c r="BR294" s="26"/>
    </row>
    <row r="295" spans="2:70" ht="22.2" thickBot="1" x14ac:dyDescent="0.5">
      <c r="B295" s="1" t="s">
        <v>324</v>
      </c>
      <c r="C295" s="2" t="s">
        <v>20</v>
      </c>
      <c r="D295" s="13">
        <v>44197</v>
      </c>
      <c r="E295" s="3">
        <v>0</v>
      </c>
      <c r="F295" s="4">
        <f t="shared" ref="F295" si="434">+E295*$C$1</f>
        <v>0</v>
      </c>
      <c r="G295" s="4">
        <f t="shared" ref="G295" si="435">+BR295</f>
        <v>0</v>
      </c>
      <c r="H295" s="42">
        <f t="shared" ref="H295" si="436">+F295+G295</f>
        <v>0</v>
      </c>
      <c r="I295" s="6">
        <v>15</v>
      </c>
      <c r="J295" s="86"/>
      <c r="K295" s="7"/>
      <c r="L295" s="39">
        <v>44927</v>
      </c>
      <c r="M295" s="37"/>
      <c r="N295" s="9" t="s">
        <v>309</v>
      </c>
      <c r="W295" s="1" t="s">
        <v>324</v>
      </c>
      <c r="X295" s="50">
        <v>0</v>
      </c>
      <c r="Y295" s="48">
        <v>0</v>
      </c>
      <c r="Z295" s="49">
        <v>0</v>
      </c>
      <c r="AA295" s="49">
        <v>0</v>
      </c>
      <c r="AB295" s="49">
        <v>0</v>
      </c>
      <c r="AC295" s="31">
        <v>0</v>
      </c>
      <c r="AD295" s="28">
        <f t="shared" ref="AD295" si="437">+AC295-AB295</f>
        <v>0</v>
      </c>
      <c r="AE295" s="52">
        <v>0</v>
      </c>
      <c r="AF295" s="52">
        <v>0</v>
      </c>
      <c r="AG295" s="49">
        <v>0</v>
      </c>
      <c r="AH295" s="22">
        <f t="shared" ref="AH295" si="438">+AD295+(AE295+AF295)-AG295</f>
        <v>0</v>
      </c>
      <c r="AI295" s="52">
        <f t="shared" ref="AI295:AJ295" si="439">+(0)+(0)+(0)+(0)+(0)+(0)</f>
        <v>0</v>
      </c>
      <c r="AJ295" s="52">
        <f t="shared" si="439"/>
        <v>0</v>
      </c>
      <c r="AK295" s="49">
        <v>0</v>
      </c>
      <c r="AL295" s="67">
        <f t="shared" ref="AL295" si="440">+AH295+AI295+AJ295-AK295</f>
        <v>0</v>
      </c>
      <c r="AM295" s="22"/>
      <c r="AN295" s="22"/>
      <c r="AO295" s="22"/>
      <c r="AP295" s="22"/>
      <c r="AQ295" s="22"/>
      <c r="AR295" s="22"/>
      <c r="AS295" s="22"/>
      <c r="AT295" s="22"/>
      <c r="AU295" s="22"/>
      <c r="AV295" s="22"/>
      <c r="AW295" s="109"/>
      <c r="AX295" s="22"/>
      <c r="AY295" s="140"/>
      <c r="AZ295" s="140"/>
      <c r="BA295" s="140"/>
      <c r="BB295" s="140"/>
      <c r="BC295" s="140"/>
      <c r="BD295" s="140"/>
      <c r="BE295" s="140"/>
      <c r="BF295" s="140"/>
      <c r="BG295" s="140"/>
      <c r="BH295" s="140"/>
      <c r="BI295" s="140"/>
      <c r="BJ295" s="140"/>
      <c r="BK295" s="140"/>
      <c r="BL295" s="140"/>
      <c r="BM295" s="140"/>
      <c r="BN295" s="140"/>
      <c r="BO295" s="140"/>
      <c r="BP295" s="140"/>
      <c r="BQ295" s="140"/>
      <c r="BR295" s="26"/>
    </row>
    <row r="296" spans="2:70" ht="22.2" thickBot="1" x14ac:dyDescent="0.5">
      <c r="B296" s="1" t="s">
        <v>293</v>
      </c>
      <c r="C296" s="2" t="s">
        <v>19</v>
      </c>
      <c r="D296" s="18">
        <v>43709</v>
      </c>
      <c r="E296" s="3">
        <v>1</v>
      </c>
      <c r="F296" s="4">
        <f t="shared" ref="F296:F301" si="441">+E296*$C$1</f>
        <v>533.33000000000004</v>
      </c>
      <c r="G296" s="4">
        <f t="shared" ref="G296:G301" si="442">+BR296</f>
        <v>0</v>
      </c>
      <c r="H296" s="42">
        <f t="shared" ref="H296:H301" si="443">+F296+G296</f>
        <v>533.33000000000004</v>
      </c>
      <c r="I296" s="6">
        <v>14</v>
      </c>
      <c r="J296" s="86"/>
      <c r="K296" s="7"/>
      <c r="L296" s="41">
        <v>45170</v>
      </c>
      <c r="M296" s="37"/>
      <c r="N296" s="9" t="s">
        <v>309</v>
      </c>
      <c r="W296" s="1" t="s">
        <v>293</v>
      </c>
      <c r="X296" s="50">
        <v>0</v>
      </c>
      <c r="Y296" s="48">
        <v>0</v>
      </c>
      <c r="Z296" s="49">
        <v>0</v>
      </c>
      <c r="AA296" s="49">
        <v>0</v>
      </c>
      <c r="AB296" s="49">
        <v>0</v>
      </c>
      <c r="AC296" s="31">
        <v>0</v>
      </c>
      <c r="AD296" s="28">
        <f t="shared" ref="AD296:AD301" si="444">+AC296-AB296</f>
        <v>0</v>
      </c>
      <c r="AE296" s="52">
        <v>0</v>
      </c>
      <c r="AF296" s="52">
        <f>+(0)+(0)+(0)+(0)+(0)+(216)</f>
        <v>216</v>
      </c>
      <c r="AG296" s="49">
        <v>120</v>
      </c>
      <c r="AH296" s="22">
        <f t="shared" ref="AH296:AH301" si="445">+AD296+(AE296+AF296)-AG296</f>
        <v>96</v>
      </c>
      <c r="AI296" s="52">
        <f t="shared" si="81"/>
        <v>0</v>
      </c>
      <c r="AJ296" s="52">
        <f>+(78)+(0)+(0)+(0)+(0)+(0)</f>
        <v>78</v>
      </c>
      <c r="AK296" s="49">
        <v>120</v>
      </c>
      <c r="AL296" s="67">
        <f t="shared" ref="AL296:AL301" si="446">+AH296+AI296+AJ296-AK296</f>
        <v>54</v>
      </c>
      <c r="AM296" s="22"/>
      <c r="AN296" s="22"/>
      <c r="AO296" s="22"/>
      <c r="AP296" s="22"/>
      <c r="AQ296" s="22"/>
      <c r="AR296" s="22"/>
      <c r="AS296" s="22"/>
      <c r="AT296" s="22"/>
      <c r="AU296" s="22"/>
      <c r="AV296" s="22"/>
      <c r="AW296" s="109"/>
      <c r="AX296" s="22"/>
      <c r="AY296" s="140"/>
      <c r="AZ296" s="140"/>
      <c r="BA296" s="140"/>
      <c r="BB296" s="140"/>
      <c r="BC296" s="140"/>
      <c r="BD296" s="140"/>
      <c r="BE296" s="140"/>
      <c r="BF296" s="140"/>
      <c r="BG296" s="140"/>
      <c r="BH296" s="140"/>
      <c r="BI296" s="140"/>
      <c r="BJ296" s="140"/>
      <c r="BK296" s="140"/>
      <c r="BL296" s="140"/>
      <c r="BM296" s="140"/>
      <c r="BN296" s="140"/>
      <c r="BO296" s="140"/>
      <c r="BP296" s="140"/>
      <c r="BQ296" s="140"/>
      <c r="BR296" s="26"/>
    </row>
    <row r="297" spans="2:70" ht="22.8" thickBot="1" x14ac:dyDescent="0.55000000000000004">
      <c r="B297" s="1" t="s">
        <v>29</v>
      </c>
      <c r="C297" s="2" t="s">
        <v>20</v>
      </c>
      <c r="D297" s="1" t="s">
        <v>112</v>
      </c>
      <c r="E297" s="3">
        <v>8</v>
      </c>
      <c r="F297" s="4">
        <f t="shared" si="441"/>
        <v>4266.6400000000003</v>
      </c>
      <c r="G297" s="4">
        <f t="shared" si="442"/>
        <v>2074</v>
      </c>
      <c r="H297" s="42">
        <f t="shared" si="443"/>
        <v>6340.64</v>
      </c>
      <c r="I297" s="6">
        <v>8</v>
      </c>
      <c r="J297" s="86"/>
      <c r="K297" s="7"/>
      <c r="L297" s="39">
        <v>45076</v>
      </c>
      <c r="M297" s="37"/>
      <c r="N297" s="9" t="s">
        <v>309</v>
      </c>
      <c r="W297" s="1" t="s">
        <v>29</v>
      </c>
      <c r="X297" s="47">
        <v>1600</v>
      </c>
      <c r="Y297" s="48">
        <v>150</v>
      </c>
      <c r="Z297" s="49">
        <v>96</v>
      </c>
      <c r="AA297" s="49">
        <v>150</v>
      </c>
      <c r="AB297" s="49">
        <v>78</v>
      </c>
      <c r="AC297" s="31">
        <v>78</v>
      </c>
      <c r="AD297" s="28">
        <f t="shared" si="444"/>
        <v>0</v>
      </c>
      <c r="AE297" s="52">
        <v>0</v>
      </c>
      <c r="AF297" s="52">
        <f t="shared" si="29"/>
        <v>0</v>
      </c>
      <c r="AG297" s="49">
        <v>0</v>
      </c>
      <c r="AH297" s="22">
        <f t="shared" si="445"/>
        <v>0</v>
      </c>
      <c r="AI297" s="52">
        <f>+(0)+(0)+(0)+(0)+(0)+(0)</f>
        <v>0</v>
      </c>
      <c r="AJ297" s="52">
        <f>+(0)+(0)+(0)+(0)+(0)+(0)</f>
        <v>0</v>
      </c>
      <c r="AK297" s="49">
        <v>0</v>
      </c>
      <c r="AL297" s="31">
        <f t="shared" si="446"/>
        <v>0</v>
      </c>
      <c r="AM297" s="52">
        <f>+(0)+(0)+(0)+(0)+(0)+(0)</f>
        <v>0</v>
      </c>
      <c r="AN297" s="52">
        <f>+(0)+(0)+(0)+(0)+(0)+(0)</f>
        <v>0</v>
      </c>
      <c r="AO297" s="72">
        <v>0</v>
      </c>
      <c r="AP297" s="74">
        <f t="shared" ref="AP297:AP302" si="447">+AL297+AM297+AN297-AO297</f>
        <v>0</v>
      </c>
      <c r="AQ297" s="52">
        <f>+(0)+(0)+(0)+(0)+(0)+(0)</f>
        <v>0</v>
      </c>
      <c r="AR297" s="52">
        <f>+(0)+(0)+(0)+(0)+(0)+(0)</f>
        <v>0</v>
      </c>
      <c r="AS297" s="72"/>
      <c r="AT297" s="73">
        <f t="shared" ref="AT297:AT302" si="448">+AP297+AQ297+AR297-AS297</f>
        <v>0</v>
      </c>
      <c r="AU297" s="73"/>
      <c r="AV297" s="73"/>
      <c r="AW297" s="108"/>
      <c r="AX297" s="73"/>
      <c r="AY297" s="139"/>
      <c r="AZ297" s="139"/>
      <c r="BA297" s="139"/>
      <c r="BB297" s="139"/>
      <c r="BC297" s="139"/>
      <c r="BD297" s="139"/>
      <c r="BE297" s="139"/>
      <c r="BF297" s="139"/>
      <c r="BG297" s="139"/>
      <c r="BH297" s="139"/>
      <c r="BI297" s="139"/>
      <c r="BJ297" s="139"/>
      <c r="BK297" s="139"/>
      <c r="BL297" s="139"/>
      <c r="BM297" s="139"/>
      <c r="BN297" s="139"/>
      <c r="BO297" s="139"/>
      <c r="BP297" s="139"/>
      <c r="BQ297" s="139"/>
      <c r="BR297" s="26">
        <f t="shared" ref="BR297:BR316" si="449">SUM(X297:AA297)+AB297+AG297+AK297+AO297</f>
        <v>2074</v>
      </c>
    </row>
    <row r="298" spans="2:70" ht="22.8" thickBot="1" x14ac:dyDescent="0.55000000000000004">
      <c r="B298" s="1" t="s">
        <v>337</v>
      </c>
      <c r="C298" s="2" t="s">
        <v>20</v>
      </c>
      <c r="D298" s="13">
        <v>44282</v>
      </c>
      <c r="E298" s="3">
        <v>0</v>
      </c>
      <c r="F298" s="4">
        <f t="shared" si="441"/>
        <v>0</v>
      </c>
      <c r="G298" s="4">
        <f t="shared" si="442"/>
        <v>0</v>
      </c>
      <c r="H298" s="42">
        <f t="shared" si="443"/>
        <v>0</v>
      </c>
      <c r="I298" s="6">
        <v>15</v>
      </c>
      <c r="J298" s="86"/>
      <c r="K298" s="7"/>
      <c r="L298" s="41">
        <v>45012</v>
      </c>
      <c r="M298" s="37"/>
      <c r="N298" s="9" t="s">
        <v>309</v>
      </c>
      <c r="W298" s="1" t="s">
        <v>337</v>
      </c>
      <c r="X298" s="50">
        <v>0</v>
      </c>
      <c r="Y298" s="48">
        <v>0</v>
      </c>
      <c r="Z298" s="49">
        <v>0</v>
      </c>
      <c r="AA298" s="49">
        <v>0</v>
      </c>
      <c r="AB298" s="49">
        <v>0</v>
      </c>
      <c r="AC298" s="31">
        <v>0</v>
      </c>
      <c r="AD298" s="28">
        <f t="shared" si="444"/>
        <v>0</v>
      </c>
      <c r="AE298" s="52">
        <v>0</v>
      </c>
      <c r="AF298" s="52">
        <v>0</v>
      </c>
      <c r="AG298" s="49">
        <v>0</v>
      </c>
      <c r="AH298" s="22">
        <f t="shared" si="445"/>
        <v>0</v>
      </c>
      <c r="AI298" s="52">
        <f t="shared" si="47"/>
        <v>0</v>
      </c>
      <c r="AJ298" s="52">
        <f t="shared" si="47"/>
        <v>0</v>
      </c>
      <c r="AK298" s="49">
        <v>0</v>
      </c>
      <c r="AL298" s="31">
        <f t="shared" si="446"/>
        <v>0</v>
      </c>
      <c r="AM298" s="52">
        <f t="shared" si="82"/>
        <v>0</v>
      </c>
      <c r="AN298" s="52">
        <f t="shared" si="82"/>
        <v>0</v>
      </c>
      <c r="AO298" s="72">
        <v>0</v>
      </c>
      <c r="AP298" s="74">
        <f t="shared" si="447"/>
        <v>0</v>
      </c>
      <c r="AQ298" s="52">
        <f t="shared" si="83"/>
        <v>0</v>
      </c>
      <c r="AR298" s="52">
        <f t="shared" si="83"/>
        <v>0</v>
      </c>
      <c r="AS298" s="72"/>
      <c r="AT298" s="73">
        <f t="shared" si="448"/>
        <v>0</v>
      </c>
      <c r="AU298" s="73"/>
      <c r="AV298" s="73"/>
      <c r="AW298" s="108"/>
      <c r="AX298" s="73"/>
      <c r="AY298" s="139"/>
      <c r="AZ298" s="139"/>
      <c r="BA298" s="139"/>
      <c r="BB298" s="139"/>
      <c r="BC298" s="139"/>
      <c r="BD298" s="139"/>
      <c r="BE298" s="139"/>
      <c r="BF298" s="139"/>
      <c r="BG298" s="139"/>
      <c r="BH298" s="139"/>
      <c r="BI298" s="139"/>
      <c r="BJ298" s="139"/>
      <c r="BK298" s="139"/>
      <c r="BL298" s="139"/>
      <c r="BM298" s="139"/>
      <c r="BN298" s="139"/>
      <c r="BO298" s="139"/>
      <c r="BP298" s="139"/>
      <c r="BQ298" s="139"/>
      <c r="BR298" s="26">
        <f t="shared" si="449"/>
        <v>0</v>
      </c>
    </row>
    <row r="299" spans="2:70" ht="22.8" thickBot="1" x14ac:dyDescent="0.55000000000000004">
      <c r="B299" s="1" t="s">
        <v>301</v>
      </c>
      <c r="C299" s="2" t="s">
        <v>20</v>
      </c>
      <c r="D299" s="18">
        <v>43891</v>
      </c>
      <c r="E299" s="3">
        <v>1</v>
      </c>
      <c r="F299" s="4">
        <f t="shared" si="441"/>
        <v>533.33000000000004</v>
      </c>
      <c r="G299" s="4">
        <f t="shared" si="442"/>
        <v>162</v>
      </c>
      <c r="H299" s="42">
        <f t="shared" si="443"/>
        <v>695.33</v>
      </c>
      <c r="I299" s="6">
        <v>15</v>
      </c>
      <c r="J299" s="86"/>
      <c r="K299" s="7"/>
      <c r="L299" s="39">
        <v>45352</v>
      </c>
      <c r="M299" s="37"/>
      <c r="N299" s="9" t="s">
        <v>309</v>
      </c>
      <c r="W299" s="1" t="s">
        <v>301</v>
      </c>
      <c r="X299" s="50">
        <v>0</v>
      </c>
      <c r="Y299" s="48">
        <v>0</v>
      </c>
      <c r="Z299" s="49">
        <v>0</v>
      </c>
      <c r="AA299" s="49">
        <v>0</v>
      </c>
      <c r="AB299" s="49">
        <v>0</v>
      </c>
      <c r="AC299" s="31">
        <v>0</v>
      </c>
      <c r="AD299" s="28">
        <f t="shared" si="444"/>
        <v>0</v>
      </c>
      <c r="AE299" s="52">
        <v>0</v>
      </c>
      <c r="AF299" s="52">
        <f>+(0)+(0)+(0)+(0)+(0)+(162)</f>
        <v>162</v>
      </c>
      <c r="AG299" s="49">
        <v>150</v>
      </c>
      <c r="AH299" s="22">
        <f t="shared" si="445"/>
        <v>12</v>
      </c>
      <c r="AI299" s="52">
        <f t="shared" si="81"/>
        <v>0</v>
      </c>
      <c r="AJ299" s="52">
        <f t="shared" si="81"/>
        <v>0</v>
      </c>
      <c r="AK299" s="49">
        <v>12</v>
      </c>
      <c r="AL299" s="31">
        <f t="shared" si="446"/>
        <v>0</v>
      </c>
      <c r="AM299" s="52">
        <f t="shared" si="82"/>
        <v>0</v>
      </c>
      <c r="AN299" s="52">
        <f t="shared" si="82"/>
        <v>0</v>
      </c>
      <c r="AO299" s="72">
        <v>0</v>
      </c>
      <c r="AP299" s="74">
        <f t="shared" si="447"/>
        <v>0</v>
      </c>
      <c r="AQ299" s="52">
        <f t="shared" si="83"/>
        <v>0</v>
      </c>
      <c r="AR299" s="52">
        <f t="shared" si="83"/>
        <v>0</v>
      </c>
      <c r="AS299" s="72"/>
      <c r="AT299" s="73">
        <f t="shared" si="448"/>
        <v>0</v>
      </c>
      <c r="AU299" s="73"/>
      <c r="AV299" s="73"/>
      <c r="AW299" s="108"/>
      <c r="AX299" s="73"/>
      <c r="AY299" s="139"/>
      <c r="AZ299" s="139"/>
      <c r="BA299" s="139"/>
      <c r="BB299" s="139"/>
      <c r="BC299" s="139"/>
      <c r="BD299" s="139"/>
      <c r="BE299" s="139"/>
      <c r="BF299" s="139"/>
      <c r="BG299" s="139"/>
      <c r="BH299" s="139"/>
      <c r="BI299" s="139"/>
      <c r="BJ299" s="139"/>
      <c r="BK299" s="139"/>
      <c r="BL299" s="139"/>
      <c r="BM299" s="139"/>
      <c r="BN299" s="139"/>
      <c r="BO299" s="139"/>
      <c r="BP299" s="139"/>
      <c r="BQ299" s="139"/>
      <c r="BR299" s="26">
        <f t="shared" si="449"/>
        <v>162</v>
      </c>
    </row>
    <row r="300" spans="2:70" ht="22.8" thickBot="1" x14ac:dyDescent="0.55000000000000004">
      <c r="B300" s="1" t="s">
        <v>194</v>
      </c>
      <c r="C300" s="2" t="s">
        <v>20</v>
      </c>
      <c r="D300" s="13">
        <v>42005</v>
      </c>
      <c r="E300" s="3">
        <v>3</v>
      </c>
      <c r="F300" s="4">
        <f t="shared" si="441"/>
        <v>1599.9900000000002</v>
      </c>
      <c r="G300" s="4">
        <f t="shared" si="442"/>
        <v>342</v>
      </c>
      <c r="H300" s="42">
        <f t="shared" si="443"/>
        <v>1941.9900000000002</v>
      </c>
      <c r="I300" s="6">
        <v>13</v>
      </c>
      <c r="J300" s="86"/>
      <c r="K300" s="7"/>
      <c r="L300" s="41">
        <v>44700</v>
      </c>
      <c r="M300" s="37"/>
      <c r="N300" s="9" t="s">
        <v>309</v>
      </c>
      <c r="W300" s="1" t="s">
        <v>194</v>
      </c>
      <c r="X300" s="50">
        <v>0</v>
      </c>
      <c r="Y300" s="48">
        <v>96</v>
      </c>
      <c r="Z300" s="49">
        <v>96</v>
      </c>
      <c r="AA300" s="49">
        <v>96</v>
      </c>
      <c r="AB300" s="49">
        <v>0</v>
      </c>
      <c r="AC300" s="31">
        <v>0</v>
      </c>
      <c r="AD300" s="28">
        <f t="shared" si="444"/>
        <v>0</v>
      </c>
      <c r="AE300" s="52">
        <v>0</v>
      </c>
      <c r="AF300" s="52">
        <f>+(0)+(0)+(0)+(0)+(0)+(54)</f>
        <v>54</v>
      </c>
      <c r="AG300" s="49">
        <v>54</v>
      </c>
      <c r="AH300" s="22">
        <f t="shared" si="445"/>
        <v>0</v>
      </c>
      <c r="AI300" s="52">
        <f t="shared" si="81"/>
        <v>0</v>
      </c>
      <c r="AJ300" s="52">
        <f t="shared" si="81"/>
        <v>0</v>
      </c>
      <c r="AK300" s="49">
        <v>0</v>
      </c>
      <c r="AL300" s="69">
        <f t="shared" si="446"/>
        <v>0</v>
      </c>
      <c r="AM300" s="52">
        <f t="shared" si="82"/>
        <v>0</v>
      </c>
      <c r="AN300" s="52">
        <f t="shared" si="82"/>
        <v>0</v>
      </c>
      <c r="AO300" s="72">
        <v>0</v>
      </c>
      <c r="AP300" s="74">
        <f t="shared" si="447"/>
        <v>0</v>
      </c>
      <c r="AQ300" s="52">
        <f t="shared" si="83"/>
        <v>0</v>
      </c>
      <c r="AR300" s="52">
        <f t="shared" si="83"/>
        <v>0</v>
      </c>
      <c r="AS300" s="72"/>
      <c r="AT300" s="73">
        <f t="shared" si="448"/>
        <v>0</v>
      </c>
      <c r="AU300" s="73"/>
      <c r="AV300" s="73"/>
      <c r="AW300" s="108"/>
      <c r="AX300" s="73"/>
      <c r="AY300" s="139"/>
      <c r="AZ300" s="139"/>
      <c r="BA300" s="139"/>
      <c r="BB300" s="139"/>
      <c r="BC300" s="139"/>
      <c r="BD300" s="139"/>
      <c r="BE300" s="139"/>
      <c r="BF300" s="139"/>
      <c r="BG300" s="139"/>
      <c r="BH300" s="139"/>
      <c r="BI300" s="139"/>
      <c r="BJ300" s="139"/>
      <c r="BK300" s="139"/>
      <c r="BL300" s="139"/>
      <c r="BM300" s="139"/>
      <c r="BN300" s="139"/>
      <c r="BO300" s="139"/>
      <c r="BP300" s="139"/>
      <c r="BQ300" s="139"/>
      <c r="BR300" s="26">
        <f t="shared" si="449"/>
        <v>342</v>
      </c>
    </row>
    <row r="301" spans="2:70" ht="22.8" thickBot="1" x14ac:dyDescent="0.55000000000000004">
      <c r="B301" s="1" t="s">
        <v>237</v>
      </c>
      <c r="C301" s="2" t="s">
        <v>171</v>
      </c>
      <c r="D301" s="13">
        <v>42857</v>
      </c>
      <c r="E301" s="3">
        <v>2</v>
      </c>
      <c r="F301" s="4">
        <f t="shared" si="441"/>
        <v>1066.6600000000001</v>
      </c>
      <c r="G301" s="4">
        <f t="shared" si="442"/>
        <v>391.2</v>
      </c>
      <c r="H301" s="42">
        <f t="shared" si="443"/>
        <v>1457.8600000000001</v>
      </c>
      <c r="I301" s="6">
        <v>14</v>
      </c>
      <c r="J301" s="86"/>
      <c r="K301" s="7"/>
      <c r="L301" s="39">
        <v>45048</v>
      </c>
      <c r="M301" s="37"/>
      <c r="N301" s="9" t="s">
        <v>309</v>
      </c>
      <c r="W301" s="1" t="s">
        <v>237</v>
      </c>
      <c r="X301" s="47">
        <v>0</v>
      </c>
      <c r="Y301" s="48">
        <v>0</v>
      </c>
      <c r="Z301" s="49">
        <v>0</v>
      </c>
      <c r="AA301" s="49">
        <v>96</v>
      </c>
      <c r="AB301" s="49">
        <v>120</v>
      </c>
      <c r="AC301" s="31">
        <v>132.6</v>
      </c>
      <c r="AD301" s="28">
        <f t="shared" si="444"/>
        <v>12.599999999999994</v>
      </c>
      <c r="AE301" s="52">
        <v>54.6</v>
      </c>
      <c r="AF301" s="52">
        <f>+(0)+(0)+(0)+(0)+(54)+(54)</f>
        <v>108</v>
      </c>
      <c r="AG301" s="49">
        <v>120</v>
      </c>
      <c r="AH301" s="22">
        <f t="shared" si="445"/>
        <v>55.199999999999989</v>
      </c>
      <c r="AI301" s="52">
        <f>+(0)+(0)+(0)+(0)+(0)+(0)</f>
        <v>0</v>
      </c>
      <c r="AJ301" s="52">
        <f>+(0)+(0)+(0)+(0)+(0)+(0)</f>
        <v>0</v>
      </c>
      <c r="AK301" s="49">
        <v>55.2</v>
      </c>
      <c r="AL301" s="31">
        <f t="shared" si="446"/>
        <v>0</v>
      </c>
      <c r="AM301" s="52">
        <f>+(0)+(0)+(0)+(0)+(0)+(0)</f>
        <v>0</v>
      </c>
      <c r="AN301" s="52">
        <f>+(0)+(0)+(0)+(0)+(0)+(0)</f>
        <v>0</v>
      </c>
      <c r="AO301" s="72">
        <v>0</v>
      </c>
      <c r="AP301" s="75">
        <f t="shared" si="447"/>
        <v>0</v>
      </c>
      <c r="AQ301" s="52">
        <f>+(0)+(0)+(0)+(0)+(0)+(0)</f>
        <v>0</v>
      </c>
      <c r="AR301" s="52">
        <f>+(0)+(0)+(0)+(0)+(0)+(0)</f>
        <v>0</v>
      </c>
      <c r="AS301" s="72"/>
      <c r="AT301" s="73">
        <f t="shared" si="448"/>
        <v>0</v>
      </c>
      <c r="AU301" s="73"/>
      <c r="AV301" s="73"/>
      <c r="AW301" s="108"/>
      <c r="AX301" s="73"/>
      <c r="AY301" s="139"/>
      <c r="AZ301" s="139"/>
      <c r="BA301" s="139"/>
      <c r="BB301" s="139"/>
      <c r="BC301" s="139"/>
      <c r="BD301" s="139"/>
      <c r="BE301" s="139"/>
      <c r="BF301" s="139"/>
      <c r="BG301" s="139"/>
      <c r="BH301" s="139"/>
      <c r="BI301" s="139"/>
      <c r="BJ301" s="139"/>
      <c r="BK301" s="139"/>
      <c r="BL301" s="139"/>
      <c r="BM301" s="139"/>
      <c r="BN301" s="139"/>
      <c r="BO301" s="139"/>
      <c r="BP301" s="139"/>
      <c r="BQ301" s="139"/>
      <c r="BR301" s="26">
        <f t="shared" si="449"/>
        <v>391.2</v>
      </c>
    </row>
    <row r="302" spans="2:70" ht="22.8" thickBot="1" x14ac:dyDescent="0.55000000000000004">
      <c r="B302" s="1" t="s">
        <v>251</v>
      </c>
      <c r="C302" s="2" t="s">
        <v>21</v>
      </c>
      <c r="D302" s="13">
        <v>42917</v>
      </c>
      <c r="E302" s="3">
        <v>2</v>
      </c>
      <c r="F302" s="4">
        <f t="shared" ref="F302:F307" si="450">+E302*$C$1</f>
        <v>1066.6600000000001</v>
      </c>
      <c r="G302" s="4">
        <f>+BR302</f>
        <v>870</v>
      </c>
      <c r="H302" s="42">
        <f>+F302+G302</f>
        <v>1936.66</v>
      </c>
      <c r="I302" s="6">
        <v>13</v>
      </c>
      <c r="J302" s="86"/>
      <c r="K302" s="7"/>
      <c r="L302" s="41">
        <v>45108</v>
      </c>
      <c r="M302" s="37"/>
      <c r="N302" s="9" t="s">
        <v>309</v>
      </c>
      <c r="W302" s="1" t="s">
        <v>251</v>
      </c>
      <c r="X302" s="50">
        <v>0</v>
      </c>
      <c r="Y302" s="48">
        <v>0</v>
      </c>
      <c r="Z302" s="49">
        <v>120</v>
      </c>
      <c r="AA302" s="49">
        <v>150</v>
      </c>
      <c r="AB302" s="49">
        <v>150</v>
      </c>
      <c r="AC302" s="31">
        <v>156</v>
      </c>
      <c r="AD302" s="28">
        <f t="shared" ref="AD302:AD307" si="451">+AC302-AB302</f>
        <v>6</v>
      </c>
      <c r="AE302" s="52">
        <f>210+108+54.6+132.6</f>
        <v>505.20000000000005</v>
      </c>
      <c r="AF302" s="52">
        <f>+(288)+(0)+(0)+(54.6)+(0)+(264.6)</f>
        <v>607.20000000000005</v>
      </c>
      <c r="AG302" s="49">
        <v>150</v>
      </c>
      <c r="AH302" s="22">
        <f t="shared" ref="AH302:AH307" si="452">+AD302+(AE302+AF302)-AG302</f>
        <v>968.40000000000009</v>
      </c>
      <c r="AI302" s="52">
        <f t="shared" si="81"/>
        <v>0</v>
      </c>
      <c r="AJ302" s="52">
        <f>+(84)+(54)+(0)+(0)+(0)+(0)</f>
        <v>138</v>
      </c>
      <c r="AK302" s="49">
        <v>150</v>
      </c>
      <c r="AL302" s="31">
        <f t="shared" ref="AL302:AL307" si="453">+AH302+AI302+AJ302-AK302</f>
        <v>956.40000000000009</v>
      </c>
      <c r="AM302" s="52">
        <f>+(0)+(0)+(0)+(78)+(0)+(0)</f>
        <v>78</v>
      </c>
      <c r="AN302" s="52">
        <f t="shared" si="82"/>
        <v>0</v>
      </c>
      <c r="AO302" s="72">
        <v>150</v>
      </c>
      <c r="AP302" s="73">
        <f t="shared" si="447"/>
        <v>884.40000000000009</v>
      </c>
      <c r="AQ302" s="52">
        <f t="shared" si="83"/>
        <v>0</v>
      </c>
      <c r="AR302" s="52">
        <f t="shared" si="83"/>
        <v>0</v>
      </c>
      <c r="AS302" s="72"/>
      <c r="AT302" s="73">
        <f t="shared" si="448"/>
        <v>884.40000000000009</v>
      </c>
      <c r="AU302" s="73"/>
      <c r="AV302" s="73"/>
      <c r="AW302" s="108"/>
      <c r="AX302" s="73"/>
      <c r="AY302" s="139"/>
      <c r="AZ302" s="139"/>
      <c r="BA302" s="139"/>
      <c r="BB302" s="139"/>
      <c r="BC302" s="139"/>
      <c r="BD302" s="139"/>
      <c r="BE302" s="139"/>
      <c r="BF302" s="139"/>
      <c r="BG302" s="139"/>
      <c r="BH302" s="139"/>
      <c r="BI302" s="139"/>
      <c r="BJ302" s="139"/>
      <c r="BK302" s="139"/>
      <c r="BL302" s="139"/>
      <c r="BM302" s="139"/>
      <c r="BN302" s="139"/>
      <c r="BO302" s="139"/>
      <c r="BP302" s="139"/>
      <c r="BQ302" s="139"/>
      <c r="BR302" s="26">
        <f t="shared" si="449"/>
        <v>870</v>
      </c>
    </row>
    <row r="303" spans="2:70" ht="22.8" thickBot="1" x14ac:dyDescent="0.55000000000000004">
      <c r="B303" s="1" t="s">
        <v>306</v>
      </c>
      <c r="C303" s="2" t="s">
        <v>23</v>
      </c>
      <c r="D303" s="13">
        <v>43844</v>
      </c>
      <c r="E303" s="3">
        <v>1</v>
      </c>
      <c r="F303" s="4">
        <f t="shared" si="450"/>
        <v>533.33000000000004</v>
      </c>
      <c r="G303" s="4">
        <f>+BR303</f>
        <v>54</v>
      </c>
      <c r="H303" s="42">
        <f>+F303+G303</f>
        <v>587.33000000000004</v>
      </c>
      <c r="I303" s="77">
        <v>15</v>
      </c>
      <c r="J303" s="87"/>
      <c r="K303" s="7"/>
      <c r="L303" s="39">
        <v>45305</v>
      </c>
      <c r="M303" s="37"/>
      <c r="N303" s="9" t="s">
        <v>309</v>
      </c>
      <c r="W303" s="1" t="s">
        <v>306</v>
      </c>
      <c r="X303" s="50">
        <v>0</v>
      </c>
      <c r="Y303" s="48">
        <v>0</v>
      </c>
      <c r="Z303" s="49">
        <v>0</v>
      </c>
      <c r="AA303" s="49">
        <v>0</v>
      </c>
      <c r="AB303" s="49">
        <v>0</v>
      </c>
      <c r="AC303" s="31">
        <v>0</v>
      </c>
      <c r="AD303" s="28">
        <f t="shared" si="451"/>
        <v>0</v>
      </c>
      <c r="AE303" s="52">
        <v>0</v>
      </c>
      <c r="AF303" s="52">
        <f>+(0)+(0)+(0)+(0)+(0)+(54)</f>
        <v>54</v>
      </c>
      <c r="AG303" s="49">
        <v>54</v>
      </c>
      <c r="AH303" s="22">
        <f t="shared" si="452"/>
        <v>0</v>
      </c>
      <c r="AI303" s="52">
        <f t="shared" si="81"/>
        <v>0</v>
      </c>
      <c r="AJ303" s="52">
        <f t="shared" si="81"/>
        <v>0</v>
      </c>
      <c r="AK303" s="49">
        <v>0</v>
      </c>
      <c r="AL303" s="69">
        <f t="shared" si="453"/>
        <v>0</v>
      </c>
      <c r="AM303" s="52">
        <f t="shared" si="82"/>
        <v>0</v>
      </c>
      <c r="AN303" s="52">
        <f t="shared" si="82"/>
        <v>0</v>
      </c>
      <c r="AO303" s="72">
        <v>0</v>
      </c>
      <c r="AP303" s="74">
        <f>+AL303+AM303+AN303-AO303</f>
        <v>0</v>
      </c>
      <c r="AQ303" s="76">
        <f t="shared" si="83"/>
        <v>0</v>
      </c>
      <c r="AR303" s="76">
        <f t="shared" si="83"/>
        <v>0</v>
      </c>
      <c r="AS303" s="72"/>
      <c r="AT303" s="73">
        <f>+AP303+AQ303+AR303-AS303</f>
        <v>0</v>
      </c>
      <c r="AU303" s="73"/>
      <c r="AV303" s="73"/>
      <c r="AW303" s="108"/>
      <c r="AX303" s="73"/>
      <c r="AY303" s="139"/>
      <c r="AZ303" s="139"/>
      <c r="BA303" s="139"/>
      <c r="BB303" s="139"/>
      <c r="BC303" s="139"/>
      <c r="BD303" s="139"/>
      <c r="BE303" s="139"/>
      <c r="BF303" s="139"/>
      <c r="BG303" s="139"/>
      <c r="BH303" s="139"/>
      <c r="BI303" s="139"/>
      <c r="BJ303" s="139"/>
      <c r="BK303" s="139"/>
      <c r="BL303" s="139"/>
      <c r="BM303" s="139"/>
      <c r="BN303" s="139"/>
      <c r="BO303" s="139"/>
      <c r="BP303" s="139"/>
      <c r="BQ303" s="139"/>
      <c r="BR303" s="26">
        <f t="shared" si="449"/>
        <v>54</v>
      </c>
    </row>
    <row r="304" spans="2:70" ht="22.8" thickBot="1" x14ac:dyDescent="0.55000000000000004">
      <c r="B304" s="1" t="s">
        <v>330</v>
      </c>
      <c r="C304" s="2" t="s">
        <v>21</v>
      </c>
      <c r="D304" s="13">
        <v>44233</v>
      </c>
      <c r="E304" s="3">
        <v>0</v>
      </c>
      <c r="F304" s="4">
        <f t="shared" si="450"/>
        <v>0</v>
      </c>
      <c r="G304" s="4">
        <f>+BR304</f>
        <v>0</v>
      </c>
      <c r="H304" s="42">
        <f>+F304+G304</f>
        <v>0</v>
      </c>
      <c r="I304" s="77">
        <v>15</v>
      </c>
      <c r="J304" s="87"/>
      <c r="K304" s="7"/>
      <c r="L304" s="41">
        <v>44963</v>
      </c>
      <c r="M304" s="37"/>
      <c r="N304" s="9" t="s">
        <v>309</v>
      </c>
      <c r="W304" s="1" t="s">
        <v>330</v>
      </c>
      <c r="X304" s="50">
        <v>0</v>
      </c>
      <c r="Y304" s="48">
        <v>0</v>
      </c>
      <c r="Z304" s="49">
        <v>0</v>
      </c>
      <c r="AA304" s="49">
        <v>0</v>
      </c>
      <c r="AB304" s="49">
        <v>0</v>
      </c>
      <c r="AC304" s="31">
        <v>0</v>
      </c>
      <c r="AD304" s="28">
        <f t="shared" si="451"/>
        <v>0</v>
      </c>
      <c r="AE304" s="52">
        <v>0</v>
      </c>
      <c r="AF304" s="52">
        <v>0</v>
      </c>
      <c r="AG304" s="49">
        <v>0</v>
      </c>
      <c r="AH304" s="22">
        <f t="shared" si="452"/>
        <v>0</v>
      </c>
      <c r="AI304" s="52">
        <f t="shared" si="47"/>
        <v>0</v>
      </c>
      <c r="AJ304" s="52">
        <f t="shared" si="47"/>
        <v>0</v>
      </c>
      <c r="AK304" s="49">
        <v>0</v>
      </c>
      <c r="AL304" s="31">
        <f t="shared" si="453"/>
        <v>0</v>
      </c>
      <c r="AM304" s="52">
        <f t="shared" si="82"/>
        <v>0</v>
      </c>
      <c r="AN304" s="52">
        <f t="shared" si="82"/>
        <v>0</v>
      </c>
      <c r="AO304" s="72">
        <v>0</v>
      </c>
      <c r="AP304" s="78">
        <f>+AL304+AM304+AN304-AO304</f>
        <v>0</v>
      </c>
      <c r="AQ304" s="76">
        <f t="shared" si="83"/>
        <v>0</v>
      </c>
      <c r="AR304" s="76">
        <f t="shared" si="83"/>
        <v>0</v>
      </c>
      <c r="AS304" s="72"/>
      <c r="AT304" s="73">
        <f>+AP304+AQ304+AR304-AS304</f>
        <v>0</v>
      </c>
      <c r="AU304" s="73"/>
      <c r="AV304" s="73"/>
      <c r="AW304" s="108"/>
      <c r="AX304" s="73"/>
      <c r="AY304" s="139"/>
      <c r="AZ304" s="139"/>
      <c r="BA304" s="139"/>
      <c r="BB304" s="139"/>
      <c r="BC304" s="139"/>
      <c r="BD304" s="139"/>
      <c r="BE304" s="139"/>
      <c r="BF304" s="139"/>
      <c r="BG304" s="139"/>
      <c r="BH304" s="139"/>
      <c r="BI304" s="139"/>
      <c r="BJ304" s="139"/>
      <c r="BK304" s="139"/>
      <c r="BL304" s="139"/>
      <c r="BM304" s="139"/>
      <c r="BN304" s="139"/>
      <c r="BO304" s="139"/>
      <c r="BP304" s="139"/>
      <c r="BQ304" s="139"/>
      <c r="BR304" s="26">
        <f t="shared" si="449"/>
        <v>0</v>
      </c>
    </row>
    <row r="305" spans="2:70" ht="22.8" thickBot="1" x14ac:dyDescent="0.55000000000000004">
      <c r="B305" s="1" t="s">
        <v>302</v>
      </c>
      <c r="C305" s="2" t="s">
        <v>21</v>
      </c>
      <c r="D305" s="18">
        <v>43881</v>
      </c>
      <c r="E305" s="3">
        <v>1</v>
      </c>
      <c r="F305" s="4">
        <f t="shared" si="450"/>
        <v>533.33000000000004</v>
      </c>
      <c r="G305" s="4">
        <f>+BR305</f>
        <v>450</v>
      </c>
      <c r="H305" s="42">
        <f>+F305+G305</f>
        <v>983.33</v>
      </c>
      <c r="I305" s="77">
        <v>14</v>
      </c>
      <c r="J305" s="87"/>
      <c r="K305" s="7"/>
      <c r="L305" s="41">
        <v>45342</v>
      </c>
      <c r="M305" s="37"/>
      <c r="N305" s="9" t="s">
        <v>309</v>
      </c>
      <c r="W305" s="1" t="s">
        <v>302</v>
      </c>
      <c r="X305" s="50">
        <v>0</v>
      </c>
      <c r="Y305" s="48">
        <v>0</v>
      </c>
      <c r="Z305" s="49">
        <v>0</v>
      </c>
      <c r="AA305" s="49">
        <v>0</v>
      </c>
      <c r="AB305" s="49">
        <v>0</v>
      </c>
      <c r="AC305" s="31">
        <v>0</v>
      </c>
      <c r="AD305" s="28">
        <f t="shared" si="451"/>
        <v>0</v>
      </c>
      <c r="AE305" s="52">
        <v>0</v>
      </c>
      <c r="AF305" s="52">
        <f>+(0)+(0)+(0)+(0)+(0)+(294.6)</f>
        <v>294.60000000000002</v>
      </c>
      <c r="AG305" s="49">
        <v>150</v>
      </c>
      <c r="AH305" s="22">
        <f t="shared" si="452"/>
        <v>144.60000000000002</v>
      </c>
      <c r="AI305" s="52">
        <f>+(0)+(0)+(175.8)+(0)+(0)+(0)</f>
        <v>175.8</v>
      </c>
      <c r="AJ305" s="52">
        <f>+(78)+(120)+(174.6)+(0)+(198)+(0)</f>
        <v>570.6</v>
      </c>
      <c r="AK305" s="49">
        <v>150</v>
      </c>
      <c r="AL305" s="31">
        <f t="shared" si="453"/>
        <v>741</v>
      </c>
      <c r="AM305" s="52">
        <f t="shared" si="339"/>
        <v>0</v>
      </c>
      <c r="AN305" s="52">
        <f t="shared" si="339"/>
        <v>0</v>
      </c>
      <c r="AO305" s="72">
        <v>150</v>
      </c>
      <c r="AP305" s="78">
        <f>+AL305+AM305+AN305-AO305</f>
        <v>591</v>
      </c>
      <c r="AQ305" s="76">
        <f t="shared" si="340"/>
        <v>0</v>
      </c>
      <c r="AR305" s="76">
        <f t="shared" si="340"/>
        <v>0</v>
      </c>
      <c r="AS305" s="72"/>
      <c r="AT305" s="73">
        <f>+AP305+AQ305+AR305-AS305</f>
        <v>591</v>
      </c>
      <c r="AU305" s="73"/>
      <c r="AV305" s="73"/>
      <c r="AW305" s="108"/>
      <c r="AX305" s="73"/>
      <c r="AY305" s="139"/>
      <c r="AZ305" s="139"/>
      <c r="BA305" s="139"/>
      <c r="BB305" s="139"/>
      <c r="BC305" s="139"/>
      <c r="BD305" s="139"/>
      <c r="BE305" s="139"/>
      <c r="BF305" s="139"/>
      <c r="BG305" s="139"/>
      <c r="BH305" s="139"/>
      <c r="BI305" s="139"/>
      <c r="BJ305" s="139"/>
      <c r="BK305" s="139"/>
      <c r="BL305" s="139"/>
      <c r="BM305" s="139"/>
      <c r="BN305" s="139"/>
      <c r="BO305" s="139"/>
      <c r="BP305" s="139"/>
      <c r="BQ305" s="139"/>
      <c r="BR305" s="26">
        <f t="shared" si="449"/>
        <v>450</v>
      </c>
    </row>
    <row r="306" spans="2:70" ht="22.8" thickBot="1" x14ac:dyDescent="0.55000000000000004">
      <c r="B306" s="1" t="s">
        <v>203</v>
      </c>
      <c r="C306" s="2" t="s">
        <v>23</v>
      </c>
      <c r="D306" s="13">
        <v>41750</v>
      </c>
      <c r="E306" s="3">
        <v>8</v>
      </c>
      <c r="F306" s="4">
        <f t="shared" si="450"/>
        <v>4266.6400000000003</v>
      </c>
      <c r="G306" s="4">
        <f>+BR306</f>
        <v>900</v>
      </c>
      <c r="H306" s="42">
        <f>+F306+G306</f>
        <v>5166.6400000000003</v>
      </c>
      <c r="I306" s="77">
        <v>9</v>
      </c>
      <c r="J306" s="87"/>
      <c r="K306" s="7"/>
      <c r="L306" s="79">
        <v>45292</v>
      </c>
      <c r="M306" s="37"/>
      <c r="N306" s="9" t="s">
        <v>309</v>
      </c>
      <c r="W306" s="1" t="s">
        <v>180</v>
      </c>
      <c r="X306" s="50">
        <v>84</v>
      </c>
      <c r="Y306" s="48">
        <v>120</v>
      </c>
      <c r="Z306" s="49">
        <v>96</v>
      </c>
      <c r="AA306" s="49">
        <v>120</v>
      </c>
      <c r="AB306" s="49">
        <v>120</v>
      </c>
      <c r="AC306" s="31">
        <v>186</v>
      </c>
      <c r="AD306" s="28">
        <f t="shared" si="451"/>
        <v>66</v>
      </c>
      <c r="AE306" s="52">
        <v>132</v>
      </c>
      <c r="AF306" s="52">
        <f>+(0)+(78)+(0)+(0)+(54)+(162)</f>
        <v>294</v>
      </c>
      <c r="AG306" s="49">
        <v>120</v>
      </c>
      <c r="AH306" s="22">
        <f t="shared" si="452"/>
        <v>372</v>
      </c>
      <c r="AI306" s="52">
        <f t="shared" si="47"/>
        <v>0</v>
      </c>
      <c r="AJ306" s="52">
        <f>+(234)+(0)+(0)+(0)+(0)+(0)</f>
        <v>234</v>
      </c>
      <c r="AK306" s="49">
        <v>120</v>
      </c>
      <c r="AL306" s="31">
        <f t="shared" si="453"/>
        <v>486</v>
      </c>
      <c r="AM306" s="52">
        <f t="shared" si="48"/>
        <v>0</v>
      </c>
      <c r="AN306" s="52">
        <f t="shared" si="48"/>
        <v>0</v>
      </c>
      <c r="AO306" s="72">
        <v>120</v>
      </c>
      <c r="AP306" s="74">
        <f>+AL306+AM306+AN306-AO306</f>
        <v>366</v>
      </c>
      <c r="AQ306" s="76">
        <f t="shared" si="49"/>
        <v>0</v>
      </c>
      <c r="AR306" s="76">
        <f t="shared" si="49"/>
        <v>0</v>
      </c>
      <c r="AS306" s="72"/>
      <c r="AT306" s="73">
        <f>+AP306+AQ306+AR306-AS306</f>
        <v>366</v>
      </c>
      <c r="AU306" s="73"/>
      <c r="AV306" s="73"/>
      <c r="AW306" s="108"/>
      <c r="AX306" s="73"/>
      <c r="AY306" s="139"/>
      <c r="AZ306" s="139"/>
      <c r="BA306" s="139"/>
      <c r="BB306" s="139"/>
      <c r="BC306" s="139"/>
      <c r="BD306" s="139"/>
      <c r="BE306" s="139"/>
      <c r="BF306" s="139"/>
      <c r="BG306" s="139"/>
      <c r="BH306" s="139"/>
      <c r="BI306" s="139"/>
      <c r="BJ306" s="139"/>
      <c r="BK306" s="139"/>
      <c r="BL306" s="139"/>
      <c r="BM306" s="139"/>
      <c r="BN306" s="139"/>
      <c r="BO306" s="139"/>
      <c r="BP306" s="139"/>
      <c r="BQ306" s="139"/>
      <c r="BR306" s="26">
        <f t="shared" si="449"/>
        <v>900</v>
      </c>
    </row>
    <row r="307" spans="2:70" ht="22.8" thickBot="1" x14ac:dyDescent="0.55000000000000004">
      <c r="B307" s="1" t="s">
        <v>361</v>
      </c>
      <c r="C307" s="2" t="s">
        <v>20</v>
      </c>
      <c r="D307" s="13">
        <v>44687</v>
      </c>
      <c r="E307" s="3">
        <v>0</v>
      </c>
      <c r="F307" s="4">
        <f t="shared" si="450"/>
        <v>0</v>
      </c>
      <c r="G307" s="4">
        <f t="shared" ref="G307" si="454">+BR307</f>
        <v>0</v>
      </c>
      <c r="H307" s="42">
        <f t="shared" ref="H307" si="455">+F307+G307</f>
        <v>0</v>
      </c>
      <c r="I307" s="77">
        <v>15</v>
      </c>
      <c r="J307" s="87"/>
      <c r="K307" s="7"/>
      <c r="L307" s="41">
        <v>45418</v>
      </c>
      <c r="M307" s="37"/>
      <c r="N307" s="9" t="s">
        <v>309</v>
      </c>
      <c r="W307" s="1" t="s">
        <v>361</v>
      </c>
      <c r="X307" s="48">
        <v>0</v>
      </c>
      <c r="Y307" s="48">
        <v>0</v>
      </c>
      <c r="Z307" s="49">
        <v>0</v>
      </c>
      <c r="AA307" s="49">
        <v>0</v>
      </c>
      <c r="AB307" s="49">
        <v>0</v>
      </c>
      <c r="AC307" s="31">
        <v>0</v>
      </c>
      <c r="AD307" s="28">
        <f t="shared" si="451"/>
        <v>0</v>
      </c>
      <c r="AE307" s="52">
        <v>0</v>
      </c>
      <c r="AF307" s="52">
        <v>0</v>
      </c>
      <c r="AG307" s="49">
        <v>0</v>
      </c>
      <c r="AH307" s="22">
        <f t="shared" si="452"/>
        <v>0</v>
      </c>
      <c r="AI307" s="52">
        <v>0</v>
      </c>
      <c r="AJ307" s="52">
        <v>0</v>
      </c>
      <c r="AK307" s="49">
        <v>0</v>
      </c>
      <c r="AL307" s="31">
        <f t="shared" si="453"/>
        <v>0</v>
      </c>
      <c r="AM307" s="52">
        <f t="shared" si="82"/>
        <v>0</v>
      </c>
      <c r="AN307" s="52">
        <f t="shared" si="82"/>
        <v>0</v>
      </c>
      <c r="AO307" s="72">
        <v>0</v>
      </c>
      <c r="AP307" s="74">
        <f>+AL307+AM307+AN307-AO307</f>
        <v>0</v>
      </c>
      <c r="AQ307" s="76">
        <f t="shared" si="83"/>
        <v>0</v>
      </c>
      <c r="AR307" s="76">
        <f t="shared" si="83"/>
        <v>0</v>
      </c>
      <c r="AS307" s="72"/>
      <c r="AT307" s="73">
        <f t="shared" ref="AT307" si="456">+AP307+AQ307+AR307-AS307</f>
        <v>0</v>
      </c>
      <c r="AU307" s="73"/>
      <c r="AV307" s="73"/>
      <c r="AW307" s="108"/>
      <c r="AX307" s="73"/>
      <c r="AY307" s="139"/>
      <c r="AZ307" s="139"/>
      <c r="BA307" s="139"/>
      <c r="BB307" s="139"/>
      <c r="BC307" s="139"/>
      <c r="BD307" s="139"/>
      <c r="BE307" s="139"/>
      <c r="BF307" s="139"/>
      <c r="BG307" s="139"/>
      <c r="BH307" s="139"/>
      <c r="BI307" s="139"/>
      <c r="BJ307" s="139"/>
      <c r="BK307" s="139"/>
      <c r="BL307" s="139"/>
      <c r="BM307" s="139"/>
      <c r="BN307" s="139"/>
      <c r="BO307" s="139"/>
      <c r="BP307" s="139"/>
      <c r="BQ307" s="139"/>
      <c r="BR307" s="26">
        <f t="shared" si="449"/>
        <v>0</v>
      </c>
    </row>
    <row r="308" spans="2:70" ht="22.8" thickBot="1" x14ac:dyDescent="0.55000000000000004">
      <c r="B308" s="1" t="s">
        <v>366</v>
      </c>
      <c r="C308" s="2" t="s">
        <v>20</v>
      </c>
      <c r="D308" s="18">
        <v>44734</v>
      </c>
      <c r="E308" s="3">
        <v>0</v>
      </c>
      <c r="F308" s="4">
        <f>+E308*$C$1</f>
        <v>0</v>
      </c>
      <c r="G308" s="4">
        <f t="shared" ref="G308" si="457">+BR308</f>
        <v>0</v>
      </c>
      <c r="H308" s="42">
        <f t="shared" ref="H308" si="458">+F308+G308</f>
        <v>0</v>
      </c>
      <c r="I308" s="77">
        <v>15</v>
      </c>
      <c r="J308" s="87"/>
      <c r="K308" s="7"/>
      <c r="L308" s="39">
        <v>45465</v>
      </c>
      <c r="M308" s="37"/>
      <c r="N308" s="9" t="s">
        <v>309</v>
      </c>
      <c r="W308" s="1" t="s">
        <v>366</v>
      </c>
      <c r="X308" s="50">
        <v>0</v>
      </c>
      <c r="Y308" s="48">
        <v>0</v>
      </c>
      <c r="Z308" s="49">
        <v>0</v>
      </c>
      <c r="AA308" s="49">
        <v>0</v>
      </c>
      <c r="AB308" s="49">
        <v>0</v>
      </c>
      <c r="AC308" s="31">
        <v>0</v>
      </c>
      <c r="AD308" s="28">
        <f t="shared" ref="AD308" si="459">+AC308-AB308</f>
        <v>0</v>
      </c>
      <c r="AE308" s="52">
        <v>0</v>
      </c>
      <c r="AF308" s="52">
        <v>0</v>
      </c>
      <c r="AG308" s="49">
        <v>0</v>
      </c>
      <c r="AH308" s="22">
        <f t="shared" ref="AH308" si="460">+AD308+(AE308+AF308)-AG308</f>
        <v>0</v>
      </c>
      <c r="AI308" s="52">
        <v>0</v>
      </c>
      <c r="AJ308" s="52">
        <v>0</v>
      </c>
      <c r="AK308" s="49">
        <v>0</v>
      </c>
      <c r="AL308" s="31">
        <f t="shared" ref="AL308" si="461">+AH308+AI308+AJ308-AK308</f>
        <v>0</v>
      </c>
      <c r="AM308" s="52">
        <f t="shared" si="82"/>
        <v>0</v>
      </c>
      <c r="AN308" s="52">
        <f t="shared" si="82"/>
        <v>0</v>
      </c>
      <c r="AO308" s="72">
        <v>0</v>
      </c>
      <c r="AP308" s="80">
        <f t="shared" ref="AP308" si="462">+AL308+AM308+AN308-AO308</f>
        <v>0</v>
      </c>
      <c r="AQ308" s="76">
        <f t="shared" si="83"/>
        <v>0</v>
      </c>
      <c r="AR308" s="76">
        <f t="shared" si="83"/>
        <v>0</v>
      </c>
      <c r="AS308" s="72"/>
      <c r="AT308" s="73">
        <v>0</v>
      </c>
      <c r="AU308" s="73"/>
      <c r="AV308" s="73"/>
      <c r="AW308" s="108"/>
      <c r="AX308" s="73"/>
      <c r="AY308" s="139"/>
      <c r="AZ308" s="139"/>
      <c r="BA308" s="139"/>
      <c r="BB308" s="139"/>
      <c r="BC308" s="139"/>
      <c r="BD308" s="139"/>
      <c r="BE308" s="139"/>
      <c r="BF308" s="139"/>
      <c r="BG308" s="139"/>
      <c r="BH308" s="139"/>
      <c r="BI308" s="139"/>
      <c r="BJ308" s="139"/>
      <c r="BK308" s="139"/>
      <c r="BL308" s="139"/>
      <c r="BM308" s="139"/>
      <c r="BN308" s="139"/>
      <c r="BO308" s="139"/>
      <c r="BP308" s="139"/>
      <c r="BQ308" s="139"/>
      <c r="BR308" s="26">
        <f t="shared" si="449"/>
        <v>0</v>
      </c>
    </row>
    <row r="309" spans="2:70" ht="22.8" thickBot="1" x14ac:dyDescent="0.55000000000000004">
      <c r="B309" s="1" t="s">
        <v>321</v>
      </c>
      <c r="C309" s="2" t="s">
        <v>19</v>
      </c>
      <c r="D309" s="18">
        <v>44136</v>
      </c>
      <c r="E309" s="3">
        <v>0</v>
      </c>
      <c r="F309" s="4">
        <f>+E309*$C$1</f>
        <v>0</v>
      </c>
      <c r="G309" s="4">
        <f>+BR309</f>
        <v>0</v>
      </c>
      <c r="H309" s="42">
        <f>+F309+G309</f>
        <v>0</v>
      </c>
      <c r="I309" s="77">
        <v>15</v>
      </c>
      <c r="J309" s="87"/>
      <c r="K309" s="7"/>
      <c r="L309" s="82">
        <v>45597</v>
      </c>
      <c r="M309" s="37"/>
      <c r="N309" s="9" t="s">
        <v>309</v>
      </c>
      <c r="W309" s="1" t="s">
        <v>321</v>
      </c>
      <c r="X309" s="50">
        <v>0</v>
      </c>
      <c r="Y309" s="48">
        <v>0</v>
      </c>
      <c r="Z309" s="49">
        <v>0</v>
      </c>
      <c r="AA309" s="49">
        <v>0</v>
      </c>
      <c r="AB309" s="49">
        <v>0</v>
      </c>
      <c r="AC309" s="31">
        <v>0</v>
      </c>
      <c r="AD309" s="28">
        <f>+AC309-AB309</f>
        <v>0</v>
      </c>
      <c r="AE309" s="52">
        <v>0</v>
      </c>
      <c r="AF309" s="52">
        <f t="shared" si="29"/>
        <v>0</v>
      </c>
      <c r="AG309" s="49">
        <v>0</v>
      </c>
      <c r="AH309" s="22">
        <f t="shared" ref="AH309:AH314" si="463">+AD309+(AE309+AF309)-AG309</f>
        <v>0</v>
      </c>
      <c r="AI309" s="52">
        <f>+(0)+(0)+(0)+(0)+(0)+(0)</f>
        <v>0</v>
      </c>
      <c r="AJ309" s="52">
        <f>+(0)+(0)+(0)+(0)+(0)+(0)</f>
        <v>0</v>
      </c>
      <c r="AK309" s="49">
        <v>0</v>
      </c>
      <c r="AL309" s="31">
        <f t="shared" ref="AL309:AL314" si="464">+AH309+AI309+AJ309-AK309</f>
        <v>0</v>
      </c>
      <c r="AM309" s="52">
        <f>+(0)+(0)+(0)+(0)+(0)+(0)</f>
        <v>0</v>
      </c>
      <c r="AN309" s="52">
        <f>+(0)+(0)+(0)+(0)+(0)+(0)</f>
        <v>0</v>
      </c>
      <c r="AO309" s="72">
        <v>0</v>
      </c>
      <c r="AP309" s="81">
        <f t="shared" ref="AP309:AP314" si="465">+AL309+AM309+AN309-AO309</f>
        <v>0</v>
      </c>
      <c r="AQ309" s="76">
        <f>+(0)+(0)+(0)+(0)+(0)+(0)</f>
        <v>0</v>
      </c>
      <c r="AR309" s="76">
        <f>+(0)+(0)+(0)+(0)+(0)+(0)</f>
        <v>0</v>
      </c>
      <c r="AS309" s="72"/>
      <c r="AT309" s="73">
        <f>+AP309+AQ309+AR309-AS309</f>
        <v>0</v>
      </c>
      <c r="AU309" s="73"/>
      <c r="AV309" s="73"/>
      <c r="AW309" s="108"/>
      <c r="AX309" s="73"/>
      <c r="AY309" s="139"/>
      <c r="AZ309" s="139"/>
      <c r="BA309" s="139"/>
      <c r="BB309" s="139"/>
      <c r="BC309" s="139"/>
      <c r="BD309" s="139"/>
      <c r="BE309" s="139"/>
      <c r="BF309" s="139"/>
      <c r="BG309" s="139"/>
      <c r="BH309" s="139"/>
      <c r="BI309" s="139"/>
      <c r="BJ309" s="139"/>
      <c r="BK309" s="139"/>
      <c r="BL309" s="139"/>
      <c r="BM309" s="139"/>
      <c r="BN309" s="139"/>
      <c r="BO309" s="139"/>
      <c r="BP309" s="139"/>
      <c r="BQ309" s="139"/>
      <c r="BR309" s="26">
        <f t="shared" si="449"/>
        <v>0</v>
      </c>
    </row>
    <row r="310" spans="2:70" ht="22.8" thickBot="1" x14ac:dyDescent="0.55000000000000004">
      <c r="B310" s="1" t="s">
        <v>373</v>
      </c>
      <c r="C310" s="2" t="s">
        <v>20</v>
      </c>
      <c r="D310" s="13">
        <v>44806</v>
      </c>
      <c r="E310" s="3">
        <v>0</v>
      </c>
      <c r="F310" s="4">
        <f>+E310*$C$1</f>
        <v>0</v>
      </c>
      <c r="G310" s="4">
        <f>+BR310</f>
        <v>0</v>
      </c>
      <c r="H310" s="42">
        <f>+F310+G310</f>
        <v>0</v>
      </c>
      <c r="I310" s="77">
        <v>15</v>
      </c>
      <c r="J310" s="87"/>
      <c r="K310" s="7"/>
      <c r="L310" s="56">
        <v>45537</v>
      </c>
      <c r="M310" s="37"/>
      <c r="N310" s="9" t="s">
        <v>309</v>
      </c>
      <c r="W310" s="1" t="s">
        <v>373</v>
      </c>
      <c r="X310" s="50">
        <v>0</v>
      </c>
      <c r="Y310" s="48">
        <v>0</v>
      </c>
      <c r="Z310" s="49">
        <v>0</v>
      </c>
      <c r="AA310" s="49">
        <v>0</v>
      </c>
      <c r="AB310" s="49">
        <v>0</v>
      </c>
      <c r="AC310" s="31">
        <v>0</v>
      </c>
      <c r="AD310" s="28">
        <f>+AC310-AB310</f>
        <v>0</v>
      </c>
      <c r="AE310" s="52">
        <v>0</v>
      </c>
      <c r="AF310" s="52">
        <v>0</v>
      </c>
      <c r="AG310" s="49">
        <v>0</v>
      </c>
      <c r="AH310" s="22">
        <f t="shared" si="463"/>
        <v>0</v>
      </c>
      <c r="AI310" s="52">
        <v>0</v>
      </c>
      <c r="AJ310" s="52">
        <v>0</v>
      </c>
      <c r="AK310" s="49">
        <v>0</v>
      </c>
      <c r="AL310" s="31">
        <f t="shared" si="464"/>
        <v>0</v>
      </c>
      <c r="AM310" s="52">
        <f t="shared" si="48"/>
        <v>0</v>
      </c>
      <c r="AN310" s="52">
        <f t="shared" si="48"/>
        <v>0</v>
      </c>
      <c r="AO310" s="72">
        <v>0</v>
      </c>
      <c r="AP310" s="81">
        <f t="shared" si="465"/>
        <v>0</v>
      </c>
      <c r="AQ310" s="76">
        <f t="shared" si="49"/>
        <v>0</v>
      </c>
      <c r="AR310" s="76">
        <f t="shared" si="49"/>
        <v>0</v>
      </c>
      <c r="AS310" s="72"/>
      <c r="AT310" s="73">
        <f t="shared" ref="AT310" si="466">+AP310+AQ310+AR310-AS310</f>
        <v>0</v>
      </c>
      <c r="AU310" s="73"/>
      <c r="AV310" s="73"/>
      <c r="AW310" s="108"/>
      <c r="AX310" s="73"/>
      <c r="AY310" s="139"/>
      <c r="AZ310" s="139"/>
      <c r="BA310" s="139"/>
      <c r="BB310" s="139"/>
      <c r="BC310" s="139"/>
      <c r="BD310" s="139"/>
      <c r="BE310" s="139"/>
      <c r="BF310" s="139"/>
      <c r="BG310" s="139"/>
      <c r="BH310" s="139"/>
      <c r="BI310" s="139"/>
      <c r="BJ310" s="139"/>
      <c r="BK310" s="139"/>
      <c r="BL310" s="139"/>
      <c r="BM310" s="139"/>
      <c r="BN310" s="139"/>
      <c r="BO310" s="139"/>
      <c r="BP310" s="139"/>
      <c r="BQ310" s="139"/>
      <c r="BR310" s="26">
        <f t="shared" si="449"/>
        <v>0</v>
      </c>
    </row>
    <row r="311" spans="2:70" ht="22.8" thickBot="1" x14ac:dyDescent="0.55000000000000004">
      <c r="B311" s="1" t="s">
        <v>352</v>
      </c>
      <c r="C311" s="2" t="s">
        <v>20</v>
      </c>
      <c r="D311" s="13">
        <v>44551</v>
      </c>
      <c r="E311" s="3">
        <v>0</v>
      </c>
      <c r="F311" s="4">
        <f>+E311*$C$1</f>
        <v>0</v>
      </c>
      <c r="G311" s="4">
        <f>+BR311</f>
        <v>108</v>
      </c>
      <c r="H311" s="42">
        <f>+F311+G311</f>
        <v>108</v>
      </c>
      <c r="I311" s="77">
        <v>15</v>
      </c>
      <c r="J311" s="87"/>
      <c r="K311" s="7"/>
      <c r="L311" s="41">
        <v>45281</v>
      </c>
      <c r="M311" s="37"/>
      <c r="N311" s="9" t="s">
        <v>309</v>
      </c>
      <c r="W311" s="1" t="s">
        <v>352</v>
      </c>
      <c r="X311" s="50">
        <v>0</v>
      </c>
      <c r="Y311" s="48">
        <v>0</v>
      </c>
      <c r="Z311" s="49">
        <v>0</v>
      </c>
      <c r="AA311" s="49">
        <v>0</v>
      </c>
      <c r="AB311" s="49">
        <v>0</v>
      </c>
      <c r="AC311" s="31">
        <v>0</v>
      </c>
      <c r="AD311" s="28">
        <f>+AC311-AB311</f>
        <v>0</v>
      </c>
      <c r="AE311" s="52">
        <v>0</v>
      </c>
      <c r="AF311" s="52">
        <v>0</v>
      </c>
      <c r="AG311" s="49">
        <v>0</v>
      </c>
      <c r="AH311" s="22">
        <f t="shared" si="463"/>
        <v>0</v>
      </c>
      <c r="AI311" s="52">
        <v>0</v>
      </c>
      <c r="AJ311" s="52">
        <v>0</v>
      </c>
      <c r="AK311" s="49">
        <v>0</v>
      </c>
      <c r="AL311" s="31">
        <f t="shared" si="464"/>
        <v>0</v>
      </c>
      <c r="AM311" s="52">
        <f t="shared" si="48"/>
        <v>0</v>
      </c>
      <c r="AN311" s="52">
        <f>+(0)+(30)+(0)+(0)+(78)+(0)</f>
        <v>108</v>
      </c>
      <c r="AO311" s="72">
        <v>108</v>
      </c>
      <c r="AP311" s="81">
        <f t="shared" si="465"/>
        <v>0</v>
      </c>
      <c r="AQ311" s="76">
        <f t="shared" si="49"/>
        <v>0</v>
      </c>
      <c r="AR311" s="76">
        <f t="shared" si="49"/>
        <v>0</v>
      </c>
      <c r="AS311" s="72"/>
      <c r="AT311" s="73">
        <f t="shared" ref="AT311:AT316" si="467">+AP311+AQ311+AR311-AS311</f>
        <v>0</v>
      </c>
      <c r="AU311" s="73"/>
      <c r="AV311" s="73"/>
      <c r="AW311" s="108"/>
      <c r="AX311" s="73"/>
      <c r="AY311" s="139"/>
      <c r="AZ311" s="139"/>
      <c r="BA311" s="139"/>
      <c r="BB311" s="139"/>
      <c r="BC311" s="139"/>
      <c r="BD311" s="139"/>
      <c r="BE311" s="139"/>
      <c r="BF311" s="139"/>
      <c r="BG311" s="139"/>
      <c r="BH311" s="139"/>
      <c r="BI311" s="139"/>
      <c r="BJ311" s="139"/>
      <c r="BK311" s="139"/>
      <c r="BL311" s="139"/>
      <c r="BM311" s="139"/>
      <c r="BN311" s="139"/>
      <c r="BO311" s="139"/>
      <c r="BP311" s="139"/>
      <c r="BQ311" s="139"/>
      <c r="BR311" s="26">
        <f t="shared" si="449"/>
        <v>108</v>
      </c>
    </row>
    <row r="312" spans="2:70" ht="22.8" thickBot="1" x14ac:dyDescent="0.55000000000000004">
      <c r="B312" s="1" t="s">
        <v>297</v>
      </c>
      <c r="C312" s="2" t="s">
        <v>21</v>
      </c>
      <c r="D312" s="18">
        <v>43831</v>
      </c>
      <c r="E312" s="3">
        <v>1</v>
      </c>
      <c r="F312" s="4">
        <f>+E312*$C$1</f>
        <v>533.33000000000004</v>
      </c>
      <c r="G312" s="4">
        <f>+BR312</f>
        <v>0</v>
      </c>
      <c r="H312" s="42">
        <f>+F312+G312</f>
        <v>533.33000000000004</v>
      </c>
      <c r="I312" s="77">
        <v>15</v>
      </c>
      <c r="J312" s="87"/>
      <c r="K312" s="7"/>
      <c r="L312" s="41">
        <v>45292</v>
      </c>
      <c r="M312" s="37"/>
      <c r="N312" s="9" t="s">
        <v>309</v>
      </c>
      <c r="W312" s="1" t="s">
        <v>297</v>
      </c>
      <c r="X312" s="50">
        <v>0</v>
      </c>
      <c r="Y312" s="48">
        <v>0</v>
      </c>
      <c r="Z312" s="49">
        <v>0</v>
      </c>
      <c r="AA312" s="49">
        <v>0</v>
      </c>
      <c r="AB312" s="49">
        <v>0</v>
      </c>
      <c r="AC312" s="31">
        <v>0</v>
      </c>
      <c r="AD312" s="28">
        <f>+AC312-AB312</f>
        <v>0</v>
      </c>
      <c r="AE312" s="52">
        <v>0</v>
      </c>
      <c r="AF312" s="52">
        <f t="shared" si="180"/>
        <v>0</v>
      </c>
      <c r="AG312" s="49">
        <v>0</v>
      </c>
      <c r="AH312" s="22">
        <f t="shared" si="463"/>
        <v>0</v>
      </c>
      <c r="AI312" s="52">
        <f t="shared" si="47"/>
        <v>0</v>
      </c>
      <c r="AJ312" s="52">
        <f t="shared" si="47"/>
        <v>0</v>
      </c>
      <c r="AK312" s="49">
        <v>0</v>
      </c>
      <c r="AL312" s="31">
        <f t="shared" si="464"/>
        <v>0</v>
      </c>
      <c r="AM312" s="52">
        <f t="shared" si="48"/>
        <v>0</v>
      </c>
      <c r="AN312" s="52">
        <f t="shared" si="48"/>
        <v>0</v>
      </c>
      <c r="AO312" s="72">
        <v>0</v>
      </c>
      <c r="AP312" s="81">
        <f t="shared" si="465"/>
        <v>0</v>
      </c>
      <c r="AQ312" s="76">
        <f t="shared" si="49"/>
        <v>0</v>
      </c>
      <c r="AR312" s="76">
        <f t="shared" si="49"/>
        <v>0</v>
      </c>
      <c r="AS312" s="72"/>
      <c r="AT312" s="73">
        <f t="shared" si="467"/>
        <v>0</v>
      </c>
      <c r="AU312" s="73"/>
      <c r="AV312" s="73"/>
      <c r="AW312" s="108"/>
      <c r="AX312" s="73"/>
      <c r="AY312" s="139"/>
      <c r="AZ312" s="139"/>
      <c r="BA312" s="139"/>
      <c r="BB312" s="139"/>
      <c r="BC312" s="139"/>
      <c r="BD312" s="139"/>
      <c r="BE312" s="139"/>
      <c r="BF312" s="139"/>
      <c r="BG312" s="139"/>
      <c r="BH312" s="139"/>
      <c r="BI312" s="139"/>
      <c r="BJ312" s="139"/>
      <c r="BK312" s="139"/>
      <c r="BL312" s="139"/>
      <c r="BM312" s="139"/>
      <c r="BN312" s="139"/>
      <c r="BO312" s="139"/>
      <c r="BP312" s="139"/>
      <c r="BQ312" s="139"/>
      <c r="BR312" s="26">
        <f t="shared" si="449"/>
        <v>0</v>
      </c>
    </row>
    <row r="313" spans="2:70" ht="22.8" thickBot="1" x14ac:dyDescent="0.55000000000000004">
      <c r="B313" s="1" t="s">
        <v>363</v>
      </c>
      <c r="C313" s="2" t="s">
        <v>20</v>
      </c>
      <c r="D313" s="18">
        <v>44732</v>
      </c>
      <c r="E313" s="3">
        <v>0</v>
      </c>
      <c r="F313" s="4">
        <f t="shared" ref="F313" si="468">+E313*$C$1</f>
        <v>0</v>
      </c>
      <c r="G313" s="4">
        <f t="shared" ref="G313" si="469">+BR313</f>
        <v>0</v>
      </c>
      <c r="H313" s="42">
        <f t="shared" ref="H313" si="470">+F313+G313</f>
        <v>0</v>
      </c>
      <c r="I313" s="77">
        <v>15</v>
      </c>
      <c r="J313" s="87"/>
      <c r="K313" s="7"/>
      <c r="L313" s="39">
        <v>45463</v>
      </c>
      <c r="M313" s="37"/>
      <c r="N313" s="9" t="s">
        <v>309</v>
      </c>
      <c r="W313" s="1" t="s">
        <v>363</v>
      </c>
      <c r="X313" s="47">
        <v>0</v>
      </c>
      <c r="Y313" s="48">
        <v>0</v>
      </c>
      <c r="Z313" s="49">
        <v>0</v>
      </c>
      <c r="AA313" s="49">
        <v>0</v>
      </c>
      <c r="AB313" s="49">
        <v>0</v>
      </c>
      <c r="AC313" s="31">
        <v>0</v>
      </c>
      <c r="AD313" s="28">
        <f t="shared" ref="AD313" si="471">+AC313-AB313</f>
        <v>0</v>
      </c>
      <c r="AE313" s="52">
        <v>0</v>
      </c>
      <c r="AF313" s="52">
        <v>0</v>
      </c>
      <c r="AG313" s="49">
        <v>0</v>
      </c>
      <c r="AH313" s="22">
        <f t="shared" si="463"/>
        <v>0</v>
      </c>
      <c r="AI313" s="52">
        <f>+(0)+(0)+(0)+(0)+(0)+(0)</f>
        <v>0</v>
      </c>
      <c r="AJ313" s="52">
        <f>+(0)+(0)+(0)+(0)+(0)+(0)</f>
        <v>0</v>
      </c>
      <c r="AK313" s="49">
        <v>0</v>
      </c>
      <c r="AL313" s="31">
        <f t="shared" si="464"/>
        <v>0</v>
      </c>
      <c r="AM313" s="52">
        <f>+(0)+(0)+(0)+(0)+(0)+(0)</f>
        <v>0</v>
      </c>
      <c r="AN313" s="52">
        <f>+(0)+(0)+(0)+(0)+(0)+(0)</f>
        <v>0</v>
      </c>
      <c r="AO313" s="72">
        <v>0</v>
      </c>
      <c r="AP313" s="81">
        <f t="shared" si="465"/>
        <v>0</v>
      </c>
      <c r="AQ313" s="76">
        <f>+(0)+(0)+(0)+(0)+(0)+(0)</f>
        <v>0</v>
      </c>
      <c r="AR313" s="76">
        <f>+(0)+(0)+(0)+(0)+(0)+(0)</f>
        <v>0</v>
      </c>
      <c r="AS313" s="72"/>
      <c r="AT313" s="73">
        <f t="shared" si="467"/>
        <v>0</v>
      </c>
      <c r="AU313" s="73"/>
      <c r="AV313" s="73"/>
      <c r="AW313" s="108"/>
      <c r="AX313" s="73"/>
      <c r="AY313" s="139"/>
      <c r="AZ313" s="139"/>
      <c r="BA313" s="139"/>
      <c r="BB313" s="139"/>
      <c r="BC313" s="139"/>
      <c r="BD313" s="139"/>
      <c r="BE313" s="139"/>
      <c r="BF313" s="139"/>
      <c r="BG313" s="139"/>
      <c r="BH313" s="139"/>
      <c r="BI313" s="139"/>
      <c r="BJ313" s="139"/>
      <c r="BK313" s="139"/>
      <c r="BL313" s="139"/>
      <c r="BM313" s="139"/>
      <c r="BN313" s="139"/>
      <c r="BO313" s="139"/>
      <c r="BP313" s="139"/>
      <c r="BQ313" s="139"/>
      <c r="BR313" s="26">
        <f t="shared" si="449"/>
        <v>0</v>
      </c>
    </row>
    <row r="314" spans="2:70" ht="22.8" thickBot="1" x14ac:dyDescent="0.55000000000000004">
      <c r="B314" s="1" t="s">
        <v>354</v>
      </c>
      <c r="C314" s="2" t="s">
        <v>19</v>
      </c>
      <c r="D314" s="13">
        <v>44581</v>
      </c>
      <c r="E314" s="4">
        <v>0</v>
      </c>
      <c r="F314" s="4">
        <f t="shared" ref="F314:F319" si="472">+E314*$C$1</f>
        <v>0</v>
      </c>
      <c r="G314" s="83">
        <f>+BR314</f>
        <v>0</v>
      </c>
      <c r="H314" s="42">
        <f>+F314+G314</f>
        <v>0</v>
      </c>
      <c r="I314" s="77">
        <v>15</v>
      </c>
      <c r="J314" s="87"/>
      <c r="K314" s="7"/>
      <c r="L314" s="41">
        <v>45311</v>
      </c>
      <c r="M314" s="37"/>
      <c r="N314" s="9" t="s">
        <v>309</v>
      </c>
      <c r="W314" s="1" t="s">
        <v>354</v>
      </c>
      <c r="X314" s="48">
        <v>0</v>
      </c>
      <c r="Y314" s="48">
        <v>0</v>
      </c>
      <c r="Z314" s="49">
        <v>0</v>
      </c>
      <c r="AA314" s="49">
        <v>0</v>
      </c>
      <c r="AB314" s="49">
        <v>0</v>
      </c>
      <c r="AC314" s="31">
        <v>0</v>
      </c>
      <c r="AD314" s="28">
        <f t="shared" ref="AD314:AD319" si="473">+AC314-AB314</f>
        <v>0</v>
      </c>
      <c r="AE314" s="52">
        <v>0</v>
      </c>
      <c r="AF314" s="52">
        <v>0</v>
      </c>
      <c r="AG314" s="49">
        <v>0</v>
      </c>
      <c r="AH314" s="22">
        <f t="shared" si="463"/>
        <v>0</v>
      </c>
      <c r="AI314" s="52">
        <v>0</v>
      </c>
      <c r="AJ314" s="52">
        <v>0</v>
      </c>
      <c r="AK314" s="49">
        <v>0</v>
      </c>
      <c r="AL314" s="31">
        <f t="shared" si="464"/>
        <v>0</v>
      </c>
      <c r="AM314" s="52">
        <f>+(0)+(0)+(0)+(0)+(0)+(0)</f>
        <v>0</v>
      </c>
      <c r="AN314" s="52">
        <f>+(0)+(0)+(0)+(0)+(0)+(0)</f>
        <v>0</v>
      </c>
      <c r="AO314" s="72">
        <v>0</v>
      </c>
      <c r="AP314" s="81">
        <f t="shared" si="465"/>
        <v>0</v>
      </c>
      <c r="AQ314" s="76">
        <f>+(0)+(0)+(0)+(0)+(0)+(0)</f>
        <v>0</v>
      </c>
      <c r="AR314" s="76">
        <f>+(0)+(0)+(0)+(0)+(0)+(0)</f>
        <v>0</v>
      </c>
      <c r="AS314" s="72"/>
      <c r="AT314" s="73">
        <f t="shared" si="467"/>
        <v>0</v>
      </c>
      <c r="AU314" s="73"/>
      <c r="AV314" s="73"/>
      <c r="AW314" s="108"/>
      <c r="AX314" s="73"/>
      <c r="AY314" s="139"/>
      <c r="AZ314" s="139"/>
      <c r="BA314" s="139"/>
      <c r="BB314" s="139"/>
      <c r="BC314" s="139"/>
      <c r="BD314" s="139"/>
      <c r="BE314" s="139"/>
      <c r="BF314" s="139"/>
      <c r="BG314" s="139"/>
      <c r="BH314" s="139"/>
      <c r="BI314" s="139"/>
      <c r="BJ314" s="139"/>
      <c r="BK314" s="139"/>
      <c r="BL314" s="139"/>
      <c r="BM314" s="139"/>
      <c r="BN314" s="139"/>
      <c r="BO314" s="139"/>
      <c r="BP314" s="139"/>
      <c r="BQ314" s="139"/>
      <c r="BR314" s="26">
        <f t="shared" si="449"/>
        <v>0</v>
      </c>
    </row>
    <row r="315" spans="2:70" ht="22.8" thickBot="1" x14ac:dyDescent="0.55000000000000004">
      <c r="B315" s="1" t="s">
        <v>99</v>
      </c>
      <c r="C315" s="2" t="s">
        <v>20</v>
      </c>
      <c r="D315" s="1" t="s">
        <v>163</v>
      </c>
      <c r="E315" s="3">
        <v>7</v>
      </c>
      <c r="F315" s="4">
        <f t="shared" si="472"/>
        <v>3733.3100000000004</v>
      </c>
      <c r="G315" s="4">
        <f>+BR315</f>
        <v>1855.2</v>
      </c>
      <c r="H315" s="42">
        <f>+F315+G315</f>
        <v>5588.51</v>
      </c>
      <c r="I315" s="77">
        <v>9</v>
      </c>
      <c r="J315" s="87"/>
      <c r="K315" s="7"/>
      <c r="L315" s="41">
        <v>45578</v>
      </c>
      <c r="M315" s="37"/>
      <c r="N315" s="9" t="s">
        <v>309</v>
      </c>
      <c r="W315" s="1" t="s">
        <v>99</v>
      </c>
      <c r="X315" s="50">
        <v>1027.2</v>
      </c>
      <c r="Y315" s="48">
        <v>150</v>
      </c>
      <c r="Z315" s="49">
        <v>96</v>
      </c>
      <c r="AA315" s="49">
        <v>132</v>
      </c>
      <c r="AB315" s="49">
        <v>132</v>
      </c>
      <c r="AC315" s="31">
        <v>132</v>
      </c>
      <c r="AD315" s="28">
        <f t="shared" si="473"/>
        <v>0</v>
      </c>
      <c r="AE315" s="52">
        <v>0</v>
      </c>
      <c r="AF315" s="52">
        <f>+(0)+(156)+(0)+(0)+(0)+(162)</f>
        <v>318</v>
      </c>
      <c r="AG315" s="49">
        <v>150</v>
      </c>
      <c r="AH315" s="22">
        <f>+AD315+(AE315+AF315)-AG315</f>
        <v>168</v>
      </c>
      <c r="AI315" s="52">
        <f t="shared" si="81"/>
        <v>0</v>
      </c>
      <c r="AJ315" s="52">
        <f t="shared" si="81"/>
        <v>0</v>
      </c>
      <c r="AK315" s="49">
        <v>150</v>
      </c>
      <c r="AL315" s="31">
        <f t="shared" ref="AL315:AL322" si="474">+AH315+AI315+AJ315-AK315</f>
        <v>18</v>
      </c>
      <c r="AM315" s="52">
        <f t="shared" si="339"/>
        <v>0</v>
      </c>
      <c r="AN315" s="52">
        <f t="shared" si="339"/>
        <v>0</v>
      </c>
      <c r="AO315" s="72">
        <v>18</v>
      </c>
      <c r="AP315" s="74">
        <f t="shared" ref="AP315:AP322" si="475">+AL315+AM315+AN315-AO315</f>
        <v>0</v>
      </c>
      <c r="AQ315" s="76">
        <f t="shared" si="340"/>
        <v>0</v>
      </c>
      <c r="AR315" s="76">
        <f t="shared" si="340"/>
        <v>0</v>
      </c>
      <c r="AS315" s="72"/>
      <c r="AT315" s="73">
        <f t="shared" si="467"/>
        <v>0</v>
      </c>
      <c r="AU315" s="73"/>
      <c r="AV315" s="73"/>
      <c r="AW315" s="108"/>
      <c r="AX315" s="73"/>
      <c r="AY315" s="139"/>
      <c r="AZ315" s="139"/>
      <c r="BA315" s="139"/>
      <c r="BB315" s="139"/>
      <c r="BC315" s="139"/>
      <c r="BD315" s="139"/>
      <c r="BE315" s="139"/>
      <c r="BF315" s="139"/>
      <c r="BG315" s="139"/>
      <c r="BH315" s="139"/>
      <c r="BI315" s="139"/>
      <c r="BJ315" s="139"/>
      <c r="BK315" s="139"/>
      <c r="BL315" s="139"/>
      <c r="BM315" s="139"/>
      <c r="BN315" s="139"/>
      <c r="BO315" s="139"/>
      <c r="BP315" s="139"/>
      <c r="BQ315" s="139"/>
      <c r="BR315" s="26">
        <f t="shared" si="449"/>
        <v>1855.2</v>
      </c>
    </row>
    <row r="316" spans="2:70" ht="22.8" thickBot="1" x14ac:dyDescent="0.55000000000000004">
      <c r="B316" s="1" t="s">
        <v>355</v>
      </c>
      <c r="C316" s="2" t="s">
        <v>20</v>
      </c>
      <c r="D316" s="13">
        <v>44621</v>
      </c>
      <c r="E316" s="3">
        <v>0</v>
      </c>
      <c r="F316" s="4">
        <f t="shared" si="472"/>
        <v>0</v>
      </c>
      <c r="G316" s="4">
        <f>+BR316</f>
        <v>255.6</v>
      </c>
      <c r="H316" s="42">
        <f>+F316+G316</f>
        <v>255.6</v>
      </c>
      <c r="I316" s="77">
        <v>15</v>
      </c>
      <c r="J316" s="7"/>
      <c r="K316" s="7"/>
      <c r="L316" s="41">
        <v>45352</v>
      </c>
      <c r="M316" s="37"/>
      <c r="N316" s="9" t="s">
        <v>309</v>
      </c>
      <c r="W316" s="1" t="s">
        <v>355</v>
      </c>
      <c r="X316" s="68">
        <v>105.6</v>
      </c>
      <c r="Y316" s="48">
        <v>0</v>
      </c>
      <c r="Z316" s="49">
        <v>0</v>
      </c>
      <c r="AA316" s="49">
        <v>0</v>
      </c>
      <c r="AB316" s="49">
        <v>0</v>
      </c>
      <c r="AC316" s="31">
        <v>0</v>
      </c>
      <c r="AD316" s="28">
        <f t="shared" si="473"/>
        <v>0</v>
      </c>
      <c r="AE316" s="52">
        <v>0</v>
      </c>
      <c r="AF316" s="52">
        <v>0</v>
      </c>
      <c r="AG316" s="49">
        <v>0</v>
      </c>
      <c r="AH316" s="22">
        <f>+AD316+(AE316+AF316)-AG316</f>
        <v>0</v>
      </c>
      <c r="AI316" s="52">
        <v>0</v>
      </c>
      <c r="AJ316" s="52">
        <v>0</v>
      </c>
      <c r="AK316" s="49">
        <v>0</v>
      </c>
      <c r="AL316" s="31">
        <f t="shared" si="474"/>
        <v>0</v>
      </c>
      <c r="AM316" s="52">
        <f>+(0)+(0)+(0)+(0)+(0)+(216)</f>
        <v>216</v>
      </c>
      <c r="AN316" s="52">
        <f t="shared" si="82"/>
        <v>0</v>
      </c>
      <c r="AO316" s="72">
        <v>150</v>
      </c>
      <c r="AP316" s="74">
        <f t="shared" si="475"/>
        <v>66</v>
      </c>
      <c r="AQ316" s="76">
        <f t="shared" si="83"/>
        <v>0</v>
      </c>
      <c r="AR316" s="76">
        <f t="shared" si="83"/>
        <v>0</v>
      </c>
      <c r="AS316" s="85">
        <v>0</v>
      </c>
      <c r="AT316" s="75">
        <f t="shared" si="467"/>
        <v>66</v>
      </c>
      <c r="AU316" s="73"/>
      <c r="AV316" s="73"/>
      <c r="AW316" s="108"/>
      <c r="AX316" s="73"/>
      <c r="AY316" s="139"/>
      <c r="AZ316" s="139"/>
      <c r="BA316" s="139"/>
      <c r="BB316" s="139"/>
      <c r="BC316" s="139"/>
      <c r="BD316" s="139"/>
      <c r="BE316" s="139"/>
      <c r="BF316" s="139"/>
      <c r="BG316" s="139"/>
      <c r="BH316" s="139"/>
      <c r="BI316" s="139"/>
      <c r="BJ316" s="139"/>
      <c r="BK316" s="139"/>
      <c r="BL316" s="139"/>
      <c r="BM316" s="139"/>
      <c r="BN316" s="139"/>
      <c r="BO316" s="139"/>
      <c r="BP316" s="139"/>
      <c r="BQ316" s="139"/>
      <c r="BR316" s="26">
        <f t="shared" si="449"/>
        <v>255.6</v>
      </c>
    </row>
    <row r="317" spans="2:70" ht="22.8" thickBot="1" x14ac:dyDescent="0.55000000000000004">
      <c r="B317" s="1" t="s">
        <v>351</v>
      </c>
      <c r="C317" s="2" t="s">
        <v>21</v>
      </c>
      <c r="D317" s="13">
        <v>44562</v>
      </c>
      <c r="E317" s="3">
        <v>2</v>
      </c>
      <c r="F317" s="4">
        <f t="shared" si="472"/>
        <v>1066.6600000000001</v>
      </c>
      <c r="G317" s="4">
        <f>+BR317</f>
        <v>1903</v>
      </c>
      <c r="H317" s="42">
        <f>+F317+G317</f>
        <v>2969.66</v>
      </c>
      <c r="I317" s="77">
        <v>12</v>
      </c>
      <c r="J317" s="89"/>
      <c r="K317" s="7"/>
      <c r="L317" s="41">
        <v>44986</v>
      </c>
      <c r="M317" s="37"/>
      <c r="N317" s="9" t="s">
        <v>309</v>
      </c>
      <c r="W317" s="1" t="s">
        <v>351</v>
      </c>
      <c r="X317" s="68">
        <v>1849</v>
      </c>
      <c r="Y317" s="48">
        <v>0</v>
      </c>
      <c r="Z317" s="49">
        <v>0</v>
      </c>
      <c r="AA317" s="49">
        <v>0</v>
      </c>
      <c r="AB317" s="49">
        <v>0</v>
      </c>
      <c r="AC317" s="31">
        <v>0</v>
      </c>
      <c r="AD317" s="28">
        <f t="shared" si="473"/>
        <v>0</v>
      </c>
      <c r="AE317" s="52">
        <v>0</v>
      </c>
      <c r="AF317" s="52">
        <v>0</v>
      </c>
      <c r="AG317" s="49">
        <v>0</v>
      </c>
      <c r="AH317" s="22">
        <f>+AD317+(AE317+AF317)-AG317</f>
        <v>0</v>
      </c>
      <c r="AI317" s="52">
        <v>0</v>
      </c>
      <c r="AJ317" s="52">
        <v>0</v>
      </c>
      <c r="AK317" s="49">
        <v>0</v>
      </c>
      <c r="AL317" s="31">
        <f t="shared" si="474"/>
        <v>0</v>
      </c>
      <c r="AM317" s="52">
        <f t="shared" si="48"/>
        <v>0</v>
      </c>
      <c r="AN317" s="52">
        <f>+(54)+(0)+(0)+(0)+(0)+(0)</f>
        <v>54</v>
      </c>
      <c r="AO317" s="72">
        <v>54</v>
      </c>
      <c r="AP317" s="74">
        <f t="shared" si="475"/>
        <v>0</v>
      </c>
      <c r="AQ317" s="76">
        <f t="shared" si="49"/>
        <v>0</v>
      </c>
      <c r="AR317" s="76">
        <f t="shared" si="49"/>
        <v>0</v>
      </c>
      <c r="AS317" s="85">
        <v>0</v>
      </c>
      <c r="AT317" s="75">
        <f>+AP317+AQ317+AR317-AS317</f>
        <v>0</v>
      </c>
      <c r="AU317" s="73"/>
      <c r="AV317" s="73"/>
      <c r="AW317" s="108"/>
      <c r="AX317" s="73"/>
      <c r="AY317" s="139"/>
      <c r="AZ317" s="139"/>
      <c r="BA317" s="139"/>
      <c r="BB317" s="139"/>
      <c r="BC317" s="139"/>
      <c r="BD317" s="139"/>
      <c r="BE317" s="139"/>
      <c r="BF317" s="139"/>
      <c r="BG317" s="139"/>
      <c r="BH317" s="139"/>
      <c r="BI317" s="139"/>
      <c r="BJ317" s="139"/>
      <c r="BK317" s="139"/>
      <c r="BL317" s="139"/>
      <c r="BM317" s="139"/>
      <c r="BN317" s="139"/>
      <c r="BO317" s="139"/>
      <c r="BP317" s="139"/>
      <c r="BQ317" s="139"/>
      <c r="BR317" s="26">
        <f t="shared" ref="BR317:BR336" si="476">SUM(X317:AA317)+AB317+AG317+AK317+AO317+AS317</f>
        <v>1903</v>
      </c>
    </row>
    <row r="318" spans="2:70" ht="22.8" thickBot="1" x14ac:dyDescent="0.55000000000000004">
      <c r="B318" s="1" t="s">
        <v>358</v>
      </c>
      <c r="C318" s="2" t="s">
        <v>20</v>
      </c>
      <c r="D318" s="13">
        <v>44652</v>
      </c>
      <c r="E318" s="3">
        <v>0</v>
      </c>
      <c r="F318" s="4">
        <f t="shared" si="472"/>
        <v>0</v>
      </c>
      <c r="G318" s="4">
        <f t="shared" ref="G318" si="477">+BR318</f>
        <v>438</v>
      </c>
      <c r="H318" s="42">
        <f t="shared" ref="H318" si="478">+F318+G318</f>
        <v>438</v>
      </c>
      <c r="I318" s="77">
        <v>15</v>
      </c>
      <c r="J318" s="89"/>
      <c r="K318" s="7"/>
      <c r="L318" s="41">
        <v>45383</v>
      </c>
      <c r="M318" s="37"/>
      <c r="N318" s="9" t="s">
        <v>309</v>
      </c>
      <c r="W318" s="1" t="s">
        <v>358</v>
      </c>
      <c r="X318" s="68">
        <v>138</v>
      </c>
      <c r="Y318" s="48">
        <v>0</v>
      </c>
      <c r="Z318" s="49">
        <v>0</v>
      </c>
      <c r="AA318" s="49">
        <v>0</v>
      </c>
      <c r="AB318" s="49">
        <v>0</v>
      </c>
      <c r="AC318" s="31">
        <v>0</v>
      </c>
      <c r="AD318" s="28">
        <f t="shared" si="473"/>
        <v>0</v>
      </c>
      <c r="AE318" s="52">
        <v>0</v>
      </c>
      <c r="AF318" s="52">
        <v>0</v>
      </c>
      <c r="AG318" s="49">
        <v>0</v>
      </c>
      <c r="AH318" s="22">
        <f>+AD318+(AE318+AF318)-AG318</f>
        <v>0</v>
      </c>
      <c r="AI318" s="52">
        <v>0</v>
      </c>
      <c r="AJ318" s="52">
        <v>0</v>
      </c>
      <c r="AK318" s="49">
        <v>0</v>
      </c>
      <c r="AL318" s="31">
        <f t="shared" si="474"/>
        <v>0</v>
      </c>
      <c r="AM318" s="52">
        <f>+(0)+(0)+(0)+(0)+(120)+(0)</f>
        <v>120</v>
      </c>
      <c r="AN318" s="52">
        <f>+(0)+(30)+(96)+(0)+(75)+(0)</f>
        <v>201</v>
      </c>
      <c r="AO318" s="72">
        <v>150</v>
      </c>
      <c r="AP318" s="74">
        <f t="shared" si="475"/>
        <v>171</v>
      </c>
      <c r="AQ318" s="76">
        <f>+(204)+(0)+(0)+(0)+(0)+(0)</f>
        <v>204</v>
      </c>
      <c r="AR318" s="76">
        <f t="shared" si="49"/>
        <v>0</v>
      </c>
      <c r="AS318" s="85">
        <v>150</v>
      </c>
      <c r="AT318" s="75">
        <f>+AP318+AQ318+AR318-AS318</f>
        <v>225</v>
      </c>
      <c r="AU318" s="73"/>
      <c r="AV318" s="73"/>
      <c r="AW318" s="108"/>
      <c r="AX318" s="73"/>
      <c r="AY318" s="139"/>
      <c r="AZ318" s="139"/>
      <c r="BA318" s="139"/>
      <c r="BB318" s="139"/>
      <c r="BC318" s="139"/>
      <c r="BD318" s="139"/>
      <c r="BE318" s="139"/>
      <c r="BF318" s="139"/>
      <c r="BG318" s="139"/>
      <c r="BH318" s="139"/>
      <c r="BI318" s="139"/>
      <c r="BJ318" s="139"/>
      <c r="BK318" s="139"/>
      <c r="BL318" s="139"/>
      <c r="BM318" s="139"/>
      <c r="BN318" s="139"/>
      <c r="BO318" s="139"/>
      <c r="BP318" s="139"/>
      <c r="BQ318" s="139"/>
      <c r="BR318" s="26">
        <f t="shared" si="476"/>
        <v>438</v>
      </c>
    </row>
    <row r="319" spans="2:70" ht="22.8" thickBot="1" x14ac:dyDescent="0.55000000000000004">
      <c r="B319" s="1" t="s">
        <v>379</v>
      </c>
      <c r="C319" s="2" t="s">
        <v>20</v>
      </c>
      <c r="D319" s="13">
        <v>44875</v>
      </c>
      <c r="E319" s="3">
        <v>0</v>
      </c>
      <c r="F319" s="4">
        <f t="shared" si="472"/>
        <v>0</v>
      </c>
      <c r="G319" s="4">
        <f>+BR319</f>
        <v>96</v>
      </c>
      <c r="H319" s="42">
        <f>+F319+G319</f>
        <v>96</v>
      </c>
      <c r="I319" s="77">
        <v>15</v>
      </c>
      <c r="J319" s="89"/>
      <c r="K319" s="7"/>
      <c r="L319" s="41">
        <v>45606</v>
      </c>
      <c r="M319" s="37"/>
      <c r="N319" s="9" t="s">
        <v>309</v>
      </c>
      <c r="W319" s="1" t="s">
        <v>379</v>
      </c>
      <c r="X319" s="50">
        <v>0</v>
      </c>
      <c r="Y319" s="48">
        <v>0</v>
      </c>
      <c r="Z319" s="49">
        <v>0</v>
      </c>
      <c r="AA319" s="49">
        <v>0</v>
      </c>
      <c r="AB319" s="49">
        <v>0</v>
      </c>
      <c r="AC319" s="31">
        <v>0</v>
      </c>
      <c r="AD319" s="28">
        <f t="shared" si="473"/>
        <v>0</v>
      </c>
      <c r="AE319" s="52">
        <v>0</v>
      </c>
      <c r="AF319" s="52">
        <v>0</v>
      </c>
      <c r="AG319" s="49">
        <v>0</v>
      </c>
      <c r="AH319" s="22">
        <f>+AD319+(AE319+AF319)-AG319</f>
        <v>0</v>
      </c>
      <c r="AI319" s="52">
        <v>0</v>
      </c>
      <c r="AJ319" s="52">
        <v>0</v>
      </c>
      <c r="AK319" s="49">
        <v>0</v>
      </c>
      <c r="AL319" s="31">
        <f t="shared" si="474"/>
        <v>0</v>
      </c>
      <c r="AM319" s="52">
        <f t="shared" si="82"/>
        <v>0</v>
      </c>
      <c r="AN319" s="52">
        <f>+(0)+(0)+(0)+(0)+(0)+(96)</f>
        <v>96</v>
      </c>
      <c r="AO319" s="72">
        <v>96</v>
      </c>
      <c r="AP319" s="74">
        <f t="shared" si="475"/>
        <v>0</v>
      </c>
      <c r="AQ319" s="76">
        <f t="shared" si="83"/>
        <v>0</v>
      </c>
      <c r="AR319" s="76">
        <f t="shared" si="83"/>
        <v>0</v>
      </c>
      <c r="AS319" s="85">
        <v>0</v>
      </c>
      <c r="AT319" s="75">
        <f t="shared" ref="AT319" si="479">+AP319+AQ319+AR319-AS319</f>
        <v>0</v>
      </c>
      <c r="AU319" s="73"/>
      <c r="AV319" s="73"/>
      <c r="AW319" s="108"/>
      <c r="AX319" s="73"/>
      <c r="AY319" s="139"/>
      <c r="AZ319" s="139"/>
      <c r="BA319" s="139"/>
      <c r="BB319" s="139"/>
      <c r="BC319" s="139"/>
      <c r="BD319" s="139"/>
      <c r="BE319" s="139"/>
      <c r="BF319" s="139"/>
      <c r="BG319" s="139"/>
      <c r="BH319" s="139"/>
      <c r="BI319" s="139"/>
      <c r="BJ319" s="139"/>
      <c r="BK319" s="139"/>
      <c r="BL319" s="139"/>
      <c r="BM319" s="139"/>
      <c r="BN319" s="139"/>
      <c r="BO319" s="139"/>
      <c r="BP319" s="139"/>
      <c r="BQ319" s="139"/>
      <c r="BR319" s="26">
        <f t="shared" si="476"/>
        <v>96</v>
      </c>
    </row>
    <row r="320" spans="2:70" ht="22.8" thickBot="1" x14ac:dyDescent="0.55000000000000004">
      <c r="B320" s="1" t="s">
        <v>380</v>
      </c>
      <c r="C320" s="2" t="s">
        <v>20</v>
      </c>
      <c r="D320" s="18">
        <v>44845</v>
      </c>
      <c r="E320" s="3">
        <v>0</v>
      </c>
      <c r="F320" s="4">
        <f t="shared" ref="F320" si="480">+E320*$C$1</f>
        <v>0</v>
      </c>
      <c r="G320" s="4">
        <f t="shared" ref="G320" si="481">+BR320</f>
        <v>96</v>
      </c>
      <c r="H320" s="42">
        <f t="shared" ref="H320" si="482">+F320+G320</f>
        <v>96</v>
      </c>
      <c r="I320" s="77">
        <v>15</v>
      </c>
      <c r="J320" s="89"/>
      <c r="K320" s="7"/>
      <c r="L320" s="41">
        <v>45576</v>
      </c>
      <c r="M320" s="37"/>
      <c r="N320" s="9" t="s">
        <v>309</v>
      </c>
      <c r="W320" s="1" t="s">
        <v>380</v>
      </c>
      <c r="X320" s="50">
        <v>0</v>
      </c>
      <c r="Y320" s="48">
        <v>0</v>
      </c>
      <c r="Z320" s="49">
        <v>0</v>
      </c>
      <c r="AA320" s="49">
        <v>0</v>
      </c>
      <c r="AB320" s="49">
        <v>0</v>
      </c>
      <c r="AC320" s="31">
        <v>0</v>
      </c>
      <c r="AD320" s="28">
        <f t="shared" ref="AD320:AD324" si="483">+AC320-AB320</f>
        <v>0</v>
      </c>
      <c r="AE320" s="52">
        <v>0</v>
      </c>
      <c r="AF320" s="52">
        <v>0</v>
      </c>
      <c r="AG320" s="49">
        <v>0</v>
      </c>
      <c r="AH320" s="22">
        <v>0</v>
      </c>
      <c r="AI320" s="52">
        <v>0</v>
      </c>
      <c r="AJ320" s="52">
        <v>0</v>
      </c>
      <c r="AK320" s="49">
        <v>0</v>
      </c>
      <c r="AL320" s="70">
        <f t="shared" si="474"/>
        <v>0</v>
      </c>
      <c r="AM320" s="52">
        <f t="shared" si="82"/>
        <v>0</v>
      </c>
      <c r="AN320" s="52">
        <f>+(0)+(0)+(0)+(0)+(0)+(96)</f>
        <v>96</v>
      </c>
      <c r="AO320" s="72">
        <v>96</v>
      </c>
      <c r="AP320" s="74">
        <f t="shared" si="475"/>
        <v>0</v>
      </c>
      <c r="AQ320" s="76">
        <f t="shared" si="83"/>
        <v>0</v>
      </c>
      <c r="AR320" s="76">
        <f t="shared" si="83"/>
        <v>0</v>
      </c>
      <c r="AS320" s="85">
        <v>0</v>
      </c>
      <c r="AT320" s="75">
        <f t="shared" ref="AT320" si="484">+AP320+AQ320+AR320-AS320</f>
        <v>0</v>
      </c>
      <c r="AU320" s="73"/>
      <c r="AV320" s="73"/>
      <c r="AW320" s="108"/>
      <c r="AX320" s="73"/>
      <c r="AY320" s="139"/>
      <c r="AZ320" s="139"/>
      <c r="BA320" s="139"/>
      <c r="BB320" s="139"/>
      <c r="BC320" s="139"/>
      <c r="BD320" s="139"/>
      <c r="BE320" s="139"/>
      <c r="BF320" s="139"/>
      <c r="BG320" s="139"/>
      <c r="BH320" s="139"/>
      <c r="BI320" s="139"/>
      <c r="BJ320" s="139"/>
      <c r="BK320" s="139"/>
      <c r="BL320" s="139"/>
      <c r="BM320" s="139"/>
      <c r="BN320" s="139"/>
      <c r="BO320" s="139"/>
      <c r="BP320" s="139"/>
      <c r="BQ320" s="139"/>
      <c r="BR320" s="26">
        <f t="shared" si="476"/>
        <v>96</v>
      </c>
    </row>
    <row r="321" spans="2:70" ht="22.8" thickBot="1" x14ac:dyDescent="0.55000000000000004">
      <c r="B321" s="1" t="s">
        <v>374</v>
      </c>
      <c r="C321" s="2" t="s">
        <v>23</v>
      </c>
      <c r="D321" s="13">
        <v>44799</v>
      </c>
      <c r="E321" s="3">
        <v>0</v>
      </c>
      <c r="F321" s="4">
        <f t="shared" ref="F321:F325" si="485">+E321*$C$1</f>
        <v>0</v>
      </c>
      <c r="G321" s="4">
        <f>+BR321</f>
        <v>192.6</v>
      </c>
      <c r="H321" s="42">
        <f>+F321+G321</f>
        <v>192.6</v>
      </c>
      <c r="I321" s="77">
        <v>15</v>
      </c>
      <c r="J321" s="89"/>
      <c r="K321" s="7"/>
      <c r="L321" s="41">
        <v>45530</v>
      </c>
      <c r="M321" s="37"/>
      <c r="N321" s="9" t="s">
        <v>309</v>
      </c>
      <c r="W321" s="1" t="s">
        <v>374</v>
      </c>
      <c r="X321" s="50">
        <v>0</v>
      </c>
      <c r="Y321" s="48">
        <v>0</v>
      </c>
      <c r="Z321" s="49">
        <v>0</v>
      </c>
      <c r="AA321" s="49">
        <v>0</v>
      </c>
      <c r="AB321" s="49">
        <v>0</v>
      </c>
      <c r="AC321" s="31">
        <v>0</v>
      </c>
      <c r="AD321" s="28">
        <f t="shared" si="483"/>
        <v>0</v>
      </c>
      <c r="AE321" s="52">
        <v>0</v>
      </c>
      <c r="AF321" s="52">
        <v>0</v>
      </c>
      <c r="AG321" s="49">
        <v>0</v>
      </c>
      <c r="AH321" s="22">
        <f t="shared" ref="AH321:AH325" si="486">+AD321+(AE321+AF321)-AG321</f>
        <v>0</v>
      </c>
      <c r="AI321" s="52">
        <v>0</v>
      </c>
      <c r="AJ321" s="52">
        <v>0</v>
      </c>
      <c r="AK321" s="49">
        <v>0</v>
      </c>
      <c r="AL321" s="31">
        <f t="shared" si="474"/>
        <v>0</v>
      </c>
      <c r="AM321" s="52">
        <f t="shared" si="82"/>
        <v>0</v>
      </c>
      <c r="AN321" s="52">
        <f>+(0)+(0)+(0)+(0)+(96)+(96.6)</f>
        <v>192.6</v>
      </c>
      <c r="AO321" s="72">
        <v>120</v>
      </c>
      <c r="AP321" s="74">
        <f t="shared" si="475"/>
        <v>72.599999999999994</v>
      </c>
      <c r="AQ321" s="76">
        <f t="shared" si="83"/>
        <v>0</v>
      </c>
      <c r="AR321" s="76">
        <f t="shared" si="83"/>
        <v>0</v>
      </c>
      <c r="AS321" s="85">
        <v>72.599999999999994</v>
      </c>
      <c r="AT321" s="75">
        <f t="shared" ref="AT321" si="487">+AP321+AQ321+AR321-AS321</f>
        <v>0</v>
      </c>
      <c r="AU321" s="73"/>
      <c r="AV321" s="73"/>
      <c r="AW321" s="108"/>
      <c r="AX321" s="73"/>
      <c r="AY321" s="139"/>
      <c r="AZ321" s="139"/>
      <c r="BA321" s="139"/>
      <c r="BB321" s="139"/>
      <c r="BC321" s="139"/>
      <c r="BD321" s="139"/>
      <c r="BE321" s="139"/>
      <c r="BF321" s="139"/>
      <c r="BG321" s="139"/>
      <c r="BH321" s="139"/>
      <c r="BI321" s="139"/>
      <c r="BJ321" s="139"/>
      <c r="BK321" s="139"/>
      <c r="BL321" s="139"/>
      <c r="BM321" s="139"/>
      <c r="BN321" s="139"/>
      <c r="BO321" s="139"/>
      <c r="BP321" s="139"/>
      <c r="BQ321" s="139"/>
      <c r="BR321" s="26">
        <f t="shared" si="476"/>
        <v>192.6</v>
      </c>
    </row>
    <row r="322" spans="2:70" ht="22.8" thickBot="1" x14ac:dyDescent="0.55000000000000004">
      <c r="B322" s="1" t="s">
        <v>371</v>
      </c>
      <c r="C322" s="2" t="s">
        <v>23</v>
      </c>
      <c r="D322" s="13">
        <v>44783</v>
      </c>
      <c r="E322" s="3">
        <v>0</v>
      </c>
      <c r="F322" s="4">
        <f t="shared" si="485"/>
        <v>0</v>
      </c>
      <c r="G322" s="4">
        <f t="shared" ref="G322" si="488">+BR322</f>
        <v>0</v>
      </c>
      <c r="H322" s="42">
        <f t="shared" ref="H322" si="489">+F322+G322</f>
        <v>0</v>
      </c>
      <c r="I322" s="77">
        <v>15</v>
      </c>
      <c r="J322" s="89"/>
      <c r="K322" s="7"/>
      <c r="L322" s="41">
        <v>45514</v>
      </c>
      <c r="M322" s="37"/>
      <c r="N322" s="9" t="s">
        <v>309</v>
      </c>
      <c r="W322" s="1" t="s">
        <v>371</v>
      </c>
      <c r="X322" s="48">
        <v>0</v>
      </c>
      <c r="Y322" s="48">
        <v>0</v>
      </c>
      <c r="Z322" s="49">
        <v>0</v>
      </c>
      <c r="AA322" s="49">
        <v>0</v>
      </c>
      <c r="AB322" s="49">
        <v>0</v>
      </c>
      <c r="AC322" s="31">
        <v>0</v>
      </c>
      <c r="AD322" s="28">
        <f t="shared" si="483"/>
        <v>0</v>
      </c>
      <c r="AE322" s="52">
        <v>0</v>
      </c>
      <c r="AF322" s="52">
        <v>0</v>
      </c>
      <c r="AG322" s="49">
        <v>0</v>
      </c>
      <c r="AH322" s="22">
        <f t="shared" si="486"/>
        <v>0</v>
      </c>
      <c r="AI322" s="52">
        <v>0</v>
      </c>
      <c r="AJ322" s="52">
        <v>0</v>
      </c>
      <c r="AK322" s="49">
        <v>0</v>
      </c>
      <c r="AL322" s="31">
        <f t="shared" si="474"/>
        <v>0</v>
      </c>
      <c r="AM322" s="52">
        <f t="shared" si="82"/>
        <v>0</v>
      </c>
      <c r="AN322" s="52">
        <f t="shared" si="82"/>
        <v>0</v>
      </c>
      <c r="AO322" s="72">
        <v>0</v>
      </c>
      <c r="AP322" s="74">
        <f t="shared" si="475"/>
        <v>0</v>
      </c>
      <c r="AQ322" s="76">
        <f t="shared" si="83"/>
        <v>0</v>
      </c>
      <c r="AR322" s="76">
        <f t="shared" si="83"/>
        <v>0</v>
      </c>
      <c r="AS322" s="85">
        <v>0</v>
      </c>
      <c r="AT322" s="75">
        <f t="shared" ref="AT322" si="490">+AP322+AQ322+AR322-AS322</f>
        <v>0</v>
      </c>
      <c r="AU322" s="73"/>
      <c r="AV322" s="73"/>
      <c r="AW322" s="108"/>
      <c r="AX322" s="73"/>
      <c r="AY322" s="139"/>
      <c r="AZ322" s="139"/>
      <c r="BA322" s="139"/>
      <c r="BB322" s="139"/>
      <c r="BC322" s="139"/>
      <c r="BD322" s="139"/>
      <c r="BE322" s="139"/>
      <c r="BF322" s="139"/>
      <c r="BG322" s="139"/>
      <c r="BH322" s="139"/>
      <c r="BI322" s="139"/>
      <c r="BJ322" s="139"/>
      <c r="BK322" s="139"/>
      <c r="BL322" s="139"/>
      <c r="BM322" s="139"/>
      <c r="BN322" s="139"/>
      <c r="BO322" s="139"/>
      <c r="BP322" s="139"/>
      <c r="BQ322" s="139"/>
      <c r="BR322" s="26">
        <f t="shared" si="476"/>
        <v>0</v>
      </c>
    </row>
    <row r="323" spans="2:70" ht="22.8" thickBot="1" x14ac:dyDescent="0.55000000000000004">
      <c r="B323" s="1" t="s">
        <v>87</v>
      </c>
      <c r="C323" s="2" t="s">
        <v>23</v>
      </c>
      <c r="D323" s="10" t="s">
        <v>158</v>
      </c>
      <c r="E323" s="3">
        <v>8</v>
      </c>
      <c r="F323" s="4">
        <f t="shared" si="485"/>
        <v>4266.6400000000003</v>
      </c>
      <c r="G323" s="4">
        <f>+BR323</f>
        <v>1632</v>
      </c>
      <c r="H323" s="42">
        <f>+F323+G323</f>
        <v>5898.64</v>
      </c>
      <c r="I323" s="77">
        <v>8</v>
      </c>
      <c r="J323" s="89">
        <v>8</v>
      </c>
      <c r="K323" s="104" t="s">
        <v>307</v>
      </c>
      <c r="L323" s="41">
        <v>45689</v>
      </c>
      <c r="M323" s="37"/>
      <c r="N323" s="9" t="s">
        <v>309</v>
      </c>
      <c r="W323" s="1" t="s">
        <v>87</v>
      </c>
      <c r="X323" s="50">
        <v>720</v>
      </c>
      <c r="Y323" s="48">
        <v>96</v>
      </c>
      <c r="Z323" s="49">
        <v>96</v>
      </c>
      <c r="AA323" s="49">
        <v>120</v>
      </c>
      <c r="AB323" s="49">
        <v>120</v>
      </c>
      <c r="AC323" s="31">
        <v>264</v>
      </c>
      <c r="AD323" s="28">
        <f t="shared" si="483"/>
        <v>144</v>
      </c>
      <c r="AE323" s="52">
        <v>132</v>
      </c>
      <c r="AF323" s="52">
        <f>+(0)+(0)+(0)+(0)+(0)+(162)</f>
        <v>162</v>
      </c>
      <c r="AG323" s="49">
        <v>120</v>
      </c>
      <c r="AH323" s="22">
        <f t="shared" si="486"/>
        <v>318</v>
      </c>
      <c r="AI323" s="52">
        <f t="shared" si="81"/>
        <v>0</v>
      </c>
      <c r="AJ323" s="52">
        <f>+(78)+(0)+(0)+(0)+(78)+(0)</f>
        <v>156</v>
      </c>
      <c r="AK323" s="49">
        <v>120</v>
      </c>
      <c r="AL323" s="31">
        <f>+AH323+AI323+AJ323-AK323</f>
        <v>354</v>
      </c>
      <c r="AM323" s="52">
        <f t="shared" si="82"/>
        <v>0</v>
      </c>
      <c r="AN323" s="52">
        <f>+(0)+(108)+(0)+(0)+(0)+(0)</f>
        <v>108</v>
      </c>
      <c r="AO323" s="72">
        <v>120</v>
      </c>
      <c r="AP323" s="74">
        <f>+AL323+AM323+AN323-AO323</f>
        <v>342</v>
      </c>
      <c r="AQ323" s="76">
        <f t="shared" si="83"/>
        <v>0</v>
      </c>
      <c r="AR323" s="76">
        <f t="shared" si="83"/>
        <v>0</v>
      </c>
      <c r="AS323" s="85">
        <v>120</v>
      </c>
      <c r="AT323" s="75">
        <f>+AP323+AQ323+AR323-AS323</f>
        <v>222</v>
      </c>
      <c r="AU323" s="73"/>
      <c r="AV323" s="73"/>
      <c r="AW323" s="108"/>
      <c r="AX323" s="73"/>
      <c r="AY323" s="139"/>
      <c r="AZ323" s="139"/>
      <c r="BA323" s="139"/>
      <c r="BB323" s="139"/>
      <c r="BC323" s="139"/>
      <c r="BD323" s="139"/>
      <c r="BE323" s="139"/>
      <c r="BF323" s="139"/>
      <c r="BG323" s="139"/>
      <c r="BH323" s="139"/>
      <c r="BI323" s="139"/>
      <c r="BJ323" s="139"/>
      <c r="BK323" s="139"/>
      <c r="BL323" s="139"/>
      <c r="BM323" s="139"/>
      <c r="BN323" s="139"/>
      <c r="BO323" s="139"/>
      <c r="BP323" s="139"/>
      <c r="BQ323" s="139"/>
      <c r="BR323" s="26">
        <f t="shared" si="476"/>
        <v>1632</v>
      </c>
    </row>
    <row r="324" spans="2:70" ht="22.8" thickBot="1" x14ac:dyDescent="0.55000000000000004">
      <c r="B324" s="1" t="s">
        <v>379</v>
      </c>
      <c r="C324" s="2" t="s">
        <v>20</v>
      </c>
      <c r="D324" s="13">
        <v>44875</v>
      </c>
      <c r="E324" s="3">
        <v>0</v>
      </c>
      <c r="F324" s="4">
        <f t="shared" si="485"/>
        <v>0</v>
      </c>
      <c r="G324" s="4">
        <f t="shared" ref="G324" si="491">+BR324</f>
        <v>0</v>
      </c>
      <c r="H324" s="42">
        <f t="shared" ref="H324" si="492">+F324+G324</f>
        <v>0</v>
      </c>
      <c r="I324" s="77">
        <v>15</v>
      </c>
      <c r="J324" s="89">
        <v>15</v>
      </c>
      <c r="K324" s="7"/>
      <c r="L324" s="41">
        <v>45606</v>
      </c>
      <c r="M324" s="37"/>
      <c r="N324" s="9" t="s">
        <v>309</v>
      </c>
      <c r="W324" s="1" t="s">
        <v>379</v>
      </c>
      <c r="X324" s="50">
        <v>0</v>
      </c>
      <c r="Y324" s="48">
        <v>0</v>
      </c>
      <c r="Z324" s="49">
        <v>0</v>
      </c>
      <c r="AA324" s="49">
        <v>0</v>
      </c>
      <c r="AB324" s="49">
        <v>0</v>
      </c>
      <c r="AC324" s="31">
        <v>0</v>
      </c>
      <c r="AD324" s="28">
        <f t="shared" si="483"/>
        <v>0</v>
      </c>
      <c r="AE324" s="52">
        <v>0</v>
      </c>
      <c r="AF324" s="52">
        <v>0</v>
      </c>
      <c r="AG324" s="49">
        <v>0</v>
      </c>
      <c r="AH324" s="22">
        <f t="shared" si="486"/>
        <v>0</v>
      </c>
      <c r="AI324" s="52">
        <v>0</v>
      </c>
      <c r="AJ324" s="52">
        <v>0</v>
      </c>
      <c r="AK324" s="49">
        <v>0</v>
      </c>
      <c r="AL324" s="31">
        <f>+AH324+AI324+AJ324-AK324</f>
        <v>0</v>
      </c>
      <c r="AM324" s="52">
        <v>0</v>
      </c>
      <c r="AN324" s="52">
        <v>0</v>
      </c>
      <c r="AO324" s="72">
        <v>0</v>
      </c>
      <c r="AP324" s="74">
        <f>+AL324+AM324+AN324-AO324</f>
        <v>0</v>
      </c>
      <c r="AQ324" s="76">
        <f t="shared" si="83"/>
        <v>0</v>
      </c>
      <c r="AR324" s="76">
        <f t="shared" si="83"/>
        <v>0</v>
      </c>
      <c r="AS324" s="85">
        <v>0</v>
      </c>
      <c r="AT324" s="75">
        <f>+AP324+AQ324+AR324-AS324</f>
        <v>0</v>
      </c>
      <c r="AU324" s="73"/>
      <c r="AV324" s="73"/>
      <c r="AW324" s="108"/>
      <c r="AX324" s="73"/>
      <c r="AY324" s="139"/>
      <c r="AZ324" s="139"/>
      <c r="BA324" s="139"/>
      <c r="BB324" s="139"/>
      <c r="BC324" s="139"/>
      <c r="BD324" s="139"/>
      <c r="BE324" s="139"/>
      <c r="BF324" s="139"/>
      <c r="BG324" s="139"/>
      <c r="BH324" s="139"/>
      <c r="BI324" s="139"/>
      <c r="BJ324" s="139"/>
      <c r="BK324" s="139"/>
      <c r="BL324" s="139"/>
      <c r="BM324" s="139"/>
      <c r="BN324" s="139"/>
      <c r="BO324" s="139"/>
      <c r="BP324" s="139"/>
      <c r="BQ324" s="139"/>
      <c r="BR324" s="26">
        <f t="shared" si="476"/>
        <v>0</v>
      </c>
    </row>
    <row r="325" spans="2:70" ht="22.8" thickBot="1" x14ac:dyDescent="0.55000000000000004">
      <c r="B325" s="1" t="s">
        <v>220</v>
      </c>
      <c r="C325" s="2" t="s">
        <v>20</v>
      </c>
      <c r="D325" s="18">
        <v>44562</v>
      </c>
      <c r="E325" s="3">
        <v>3</v>
      </c>
      <c r="F325" s="4">
        <f t="shared" si="485"/>
        <v>1599.9900000000002</v>
      </c>
      <c r="G325" s="4">
        <f>+BR325</f>
        <v>693.7</v>
      </c>
      <c r="H325" s="42">
        <f>+F325+G325</f>
        <v>2293.6900000000005</v>
      </c>
      <c r="I325" s="77">
        <v>13</v>
      </c>
      <c r="J325" s="89">
        <v>13</v>
      </c>
      <c r="K325" s="7"/>
      <c r="L325" s="41">
        <v>45444</v>
      </c>
      <c r="M325" s="37"/>
      <c r="N325" s="9" t="s">
        <v>309</v>
      </c>
      <c r="W325" s="1" t="s">
        <v>221</v>
      </c>
      <c r="X325" s="50">
        <v>0</v>
      </c>
      <c r="Y325" s="48">
        <v>0</v>
      </c>
      <c r="Z325" s="49">
        <v>96</v>
      </c>
      <c r="AA325" s="49">
        <v>150</v>
      </c>
      <c r="AB325" s="49">
        <v>150</v>
      </c>
      <c r="AC325" s="31">
        <v>210.1</v>
      </c>
      <c r="AD325" s="28">
        <f>+AC325-AB325</f>
        <v>60.099999999999994</v>
      </c>
      <c r="AE325" s="52">
        <f>78+54</f>
        <v>132</v>
      </c>
      <c r="AF325" s="52">
        <f>+(0)+(67.8)+(0)+(0)+(0)+(37.8)</f>
        <v>105.6</v>
      </c>
      <c r="AG325" s="49">
        <v>150</v>
      </c>
      <c r="AH325" s="22">
        <f t="shared" si="486"/>
        <v>147.69999999999999</v>
      </c>
      <c r="AI325" s="52">
        <f t="shared" si="81"/>
        <v>0</v>
      </c>
      <c r="AJ325" s="52">
        <f t="shared" si="81"/>
        <v>0</v>
      </c>
      <c r="AK325" s="49">
        <v>147.69999999999999</v>
      </c>
      <c r="AL325" s="31">
        <f>+AH325+AI325+AJ325-AK325</f>
        <v>0</v>
      </c>
      <c r="AM325" s="52">
        <f t="shared" si="82"/>
        <v>0</v>
      </c>
      <c r="AN325" s="52">
        <f t="shared" si="82"/>
        <v>0</v>
      </c>
      <c r="AO325" s="22">
        <v>0</v>
      </c>
      <c r="AP325" s="74">
        <f>+AL325+AM325+AN325-AO325</f>
        <v>0</v>
      </c>
      <c r="AQ325" s="76">
        <f t="shared" si="83"/>
        <v>0</v>
      </c>
      <c r="AR325" s="76">
        <f t="shared" si="83"/>
        <v>0</v>
      </c>
      <c r="AS325" s="85">
        <v>0</v>
      </c>
      <c r="AT325" s="75">
        <f>+AP325+AQ325+AR325-AS325</f>
        <v>0</v>
      </c>
      <c r="AU325" s="73"/>
      <c r="AV325" s="73"/>
      <c r="AW325" s="108"/>
      <c r="AX325" s="73"/>
      <c r="AY325" s="139"/>
      <c r="AZ325" s="139"/>
      <c r="BA325" s="139"/>
      <c r="BB325" s="139"/>
      <c r="BC325" s="139"/>
      <c r="BD325" s="139"/>
      <c r="BE325" s="139"/>
      <c r="BF325" s="139"/>
      <c r="BG325" s="139"/>
      <c r="BH325" s="139"/>
      <c r="BI325" s="139"/>
      <c r="BJ325" s="139"/>
      <c r="BK325" s="139"/>
      <c r="BL325" s="139"/>
      <c r="BM325" s="139"/>
      <c r="BN325" s="139"/>
      <c r="BO325" s="139"/>
      <c r="BP325" s="139"/>
      <c r="BQ325" s="139"/>
      <c r="BR325" s="26">
        <f t="shared" si="476"/>
        <v>693.7</v>
      </c>
    </row>
    <row r="326" spans="2:70" ht="22.8" thickBot="1" x14ac:dyDescent="0.55000000000000004">
      <c r="B326" s="1" t="s">
        <v>378</v>
      </c>
      <c r="C326" s="2" t="s">
        <v>19</v>
      </c>
      <c r="D326" s="18">
        <v>44888</v>
      </c>
      <c r="E326" s="3">
        <v>0</v>
      </c>
      <c r="F326" s="4">
        <f>+E326*$C$1</f>
        <v>0</v>
      </c>
      <c r="G326" s="4">
        <f t="shared" ref="G326" si="493">+BR326</f>
        <v>0</v>
      </c>
      <c r="H326" s="42">
        <f t="shared" ref="H326" si="494">+F326+G326</f>
        <v>0</v>
      </c>
      <c r="I326" s="77">
        <v>15</v>
      </c>
      <c r="J326" s="89"/>
      <c r="K326" s="7"/>
      <c r="L326" s="41">
        <v>45619</v>
      </c>
      <c r="M326" s="37"/>
      <c r="N326" s="9" t="s">
        <v>309</v>
      </c>
      <c r="W326" s="1" t="s">
        <v>377</v>
      </c>
      <c r="X326" s="50">
        <v>0</v>
      </c>
      <c r="Y326" s="48">
        <v>0</v>
      </c>
      <c r="Z326" s="49">
        <v>0</v>
      </c>
      <c r="AA326" s="49">
        <v>0</v>
      </c>
      <c r="AB326" s="49">
        <v>0</v>
      </c>
      <c r="AC326" s="31">
        <v>0</v>
      </c>
      <c r="AD326" s="28">
        <f t="shared" ref="AD326" si="495">+AC326-AB326</f>
        <v>0</v>
      </c>
      <c r="AE326" s="52">
        <v>0</v>
      </c>
      <c r="AF326" s="52">
        <v>0</v>
      </c>
      <c r="AG326" s="49">
        <v>0</v>
      </c>
      <c r="AH326" s="22">
        <f t="shared" ref="AH326" si="496">+AD326+(AE326+AF326)-AG326</f>
        <v>0</v>
      </c>
      <c r="AI326" s="52">
        <v>0</v>
      </c>
      <c r="AJ326" s="52">
        <v>0</v>
      </c>
      <c r="AK326" s="49">
        <v>0</v>
      </c>
      <c r="AL326" s="31">
        <f t="shared" ref="AL326" si="497">+AH326+AI326+AJ326-AK326</f>
        <v>0</v>
      </c>
      <c r="AM326" s="52">
        <f t="shared" si="48"/>
        <v>0</v>
      </c>
      <c r="AN326" s="52">
        <f t="shared" si="48"/>
        <v>0</v>
      </c>
      <c r="AO326" s="72">
        <v>0</v>
      </c>
      <c r="AP326" s="74">
        <f t="shared" ref="AP326" si="498">+AL326+AM326+AN326-AO326</f>
        <v>0</v>
      </c>
      <c r="AQ326" s="76">
        <f t="shared" si="49"/>
        <v>0</v>
      </c>
      <c r="AR326" s="76">
        <f t="shared" si="49"/>
        <v>0</v>
      </c>
      <c r="AS326" s="85">
        <v>0</v>
      </c>
      <c r="AT326" s="75">
        <f t="shared" ref="AT326" si="499">+AP326+AQ326+AR326-AS326</f>
        <v>0</v>
      </c>
      <c r="AU326" s="73"/>
      <c r="AV326" s="73"/>
      <c r="AW326" s="108"/>
      <c r="AX326" s="73"/>
      <c r="AY326" s="139"/>
      <c r="AZ326" s="139"/>
      <c r="BA326" s="139"/>
      <c r="BB326" s="139"/>
      <c r="BC326" s="139"/>
      <c r="BD326" s="139"/>
      <c r="BE326" s="139"/>
      <c r="BF326" s="139"/>
      <c r="BG326" s="139"/>
      <c r="BH326" s="139"/>
      <c r="BI326" s="139"/>
      <c r="BJ326" s="139"/>
      <c r="BK326" s="139"/>
      <c r="BL326" s="139"/>
      <c r="BM326" s="139"/>
      <c r="BN326" s="139"/>
      <c r="BO326" s="139"/>
      <c r="BP326" s="139"/>
      <c r="BQ326" s="139"/>
      <c r="BR326" s="26">
        <f t="shared" si="476"/>
        <v>0</v>
      </c>
    </row>
    <row r="327" spans="2:70" ht="22.8" thickBot="1" x14ac:dyDescent="0.55000000000000004">
      <c r="B327" s="1" t="s">
        <v>75</v>
      </c>
      <c r="C327" s="2" t="s">
        <v>23</v>
      </c>
      <c r="D327" s="1" t="s">
        <v>149</v>
      </c>
      <c r="E327" s="3">
        <v>9</v>
      </c>
      <c r="F327" s="4">
        <f>+E327*$C$1</f>
        <v>4799.97</v>
      </c>
      <c r="G327" s="4">
        <f>+BR327</f>
        <v>1680</v>
      </c>
      <c r="H327" s="42">
        <f>+F327+G327</f>
        <v>6479.97</v>
      </c>
      <c r="I327" s="77">
        <v>7</v>
      </c>
      <c r="J327" s="89"/>
      <c r="K327" s="7"/>
      <c r="L327" s="41">
        <v>45451</v>
      </c>
      <c r="M327" s="37"/>
      <c r="N327" s="9" t="s">
        <v>309</v>
      </c>
      <c r="W327" s="10" t="s">
        <v>75</v>
      </c>
      <c r="X327" s="50">
        <v>750</v>
      </c>
      <c r="Y327" s="48">
        <v>120</v>
      </c>
      <c r="Z327" s="49">
        <v>108</v>
      </c>
      <c r="AA327" s="49">
        <v>120</v>
      </c>
      <c r="AB327" s="49">
        <v>120</v>
      </c>
      <c r="AC327" s="31">
        <v>264</v>
      </c>
      <c r="AD327" s="28">
        <f t="shared" ref="AD327:AD332" si="500">+AC327-AB327</f>
        <v>144</v>
      </c>
      <c r="AE327" s="52">
        <f>156+108</f>
        <v>264</v>
      </c>
      <c r="AF327" s="52">
        <f>+(0)+(0)+(0)+(0)+(0)+(54)</f>
        <v>54</v>
      </c>
      <c r="AG327" s="49">
        <v>120</v>
      </c>
      <c r="AH327" s="22">
        <f t="shared" ref="AH327:AH332" si="501">+AD327+(AE327+AF327)-AG327</f>
        <v>342</v>
      </c>
      <c r="AI327" s="52">
        <f t="shared" si="81"/>
        <v>0</v>
      </c>
      <c r="AJ327" s="52">
        <f t="shared" si="81"/>
        <v>0</v>
      </c>
      <c r="AK327" s="49">
        <v>120</v>
      </c>
      <c r="AL327" s="31">
        <f t="shared" ref="AL327:AL332" si="502">+AH327+AI327+AJ327-AK327</f>
        <v>222</v>
      </c>
      <c r="AM327" s="52">
        <f t="shared" si="82"/>
        <v>0</v>
      </c>
      <c r="AN327" s="52">
        <f t="shared" si="82"/>
        <v>0</v>
      </c>
      <c r="AO327" s="72">
        <v>120</v>
      </c>
      <c r="AP327" s="74">
        <f t="shared" ref="AP327:AP332" si="503">+AL327+AM327+AN327-AO327</f>
        <v>102</v>
      </c>
      <c r="AQ327" s="76">
        <f t="shared" si="83"/>
        <v>0</v>
      </c>
      <c r="AR327" s="76">
        <f t="shared" si="83"/>
        <v>0</v>
      </c>
      <c r="AS327" s="85">
        <v>102</v>
      </c>
      <c r="AT327" s="75">
        <f t="shared" ref="AT327:AT332" si="504">+AP327+AQ327+AR327-AS327</f>
        <v>0</v>
      </c>
      <c r="AU327" s="73"/>
      <c r="AV327" s="73"/>
      <c r="AW327" s="108"/>
      <c r="AX327" s="73"/>
      <c r="AY327" s="139"/>
      <c r="AZ327" s="139"/>
      <c r="BA327" s="139"/>
      <c r="BB327" s="139"/>
      <c r="BC327" s="139"/>
      <c r="BD327" s="139"/>
      <c r="BE327" s="139"/>
      <c r="BF327" s="139"/>
      <c r="BG327" s="139"/>
      <c r="BH327" s="139"/>
      <c r="BI327" s="139"/>
      <c r="BJ327" s="139"/>
      <c r="BK327" s="139"/>
      <c r="BL327" s="139"/>
      <c r="BM327" s="139"/>
      <c r="BN327" s="139"/>
      <c r="BO327" s="139"/>
      <c r="BP327" s="139"/>
      <c r="BQ327" s="139"/>
      <c r="BR327" s="26">
        <f t="shared" si="476"/>
        <v>1680</v>
      </c>
    </row>
    <row r="328" spans="2:70" ht="22.8" thickBot="1" x14ac:dyDescent="0.55000000000000004">
      <c r="B328" s="1" t="s">
        <v>393</v>
      </c>
      <c r="C328" s="2" t="s">
        <v>171</v>
      </c>
      <c r="D328" s="13">
        <v>44963</v>
      </c>
      <c r="E328" s="4">
        <v>0</v>
      </c>
      <c r="F328" s="4">
        <f t="shared" ref="F328" si="505">+E328*$C$1</f>
        <v>0</v>
      </c>
      <c r="G328" s="4">
        <f t="shared" ref="G328" si="506">+BR328</f>
        <v>0</v>
      </c>
      <c r="H328" s="42">
        <f t="shared" ref="H328" si="507">+F328+G328</f>
        <v>0</v>
      </c>
      <c r="I328" s="77">
        <v>15</v>
      </c>
      <c r="J328" s="105"/>
      <c r="K328" s="7"/>
      <c r="L328" s="39">
        <v>45694</v>
      </c>
      <c r="M328" s="37"/>
      <c r="N328" s="9" t="s">
        <v>309</v>
      </c>
      <c r="W328" s="1" t="s">
        <v>393</v>
      </c>
      <c r="X328" s="51">
        <v>0</v>
      </c>
      <c r="Y328" s="48">
        <v>0</v>
      </c>
      <c r="Z328" s="49">
        <v>0</v>
      </c>
      <c r="AA328" s="49">
        <v>0</v>
      </c>
      <c r="AB328" s="49">
        <v>0</v>
      </c>
      <c r="AC328" s="31">
        <v>0</v>
      </c>
      <c r="AD328" s="28">
        <f t="shared" si="500"/>
        <v>0</v>
      </c>
      <c r="AE328" s="52">
        <v>0</v>
      </c>
      <c r="AF328" s="52">
        <v>0</v>
      </c>
      <c r="AG328" s="49">
        <v>0</v>
      </c>
      <c r="AH328" s="22">
        <f t="shared" si="501"/>
        <v>0</v>
      </c>
      <c r="AI328" s="52">
        <v>0</v>
      </c>
      <c r="AJ328" s="52">
        <v>0</v>
      </c>
      <c r="AK328" s="49">
        <v>0</v>
      </c>
      <c r="AL328" s="31">
        <f t="shared" si="502"/>
        <v>0</v>
      </c>
      <c r="AM328" s="52">
        <v>0</v>
      </c>
      <c r="AN328" s="52">
        <v>0</v>
      </c>
      <c r="AO328" s="72">
        <v>0</v>
      </c>
      <c r="AP328" s="74">
        <f t="shared" si="503"/>
        <v>0</v>
      </c>
      <c r="AQ328" s="76">
        <f t="shared" si="340"/>
        <v>0</v>
      </c>
      <c r="AR328" s="76">
        <f t="shared" si="340"/>
        <v>0</v>
      </c>
      <c r="AS328" s="85">
        <v>0</v>
      </c>
      <c r="AT328" s="75">
        <f t="shared" si="504"/>
        <v>0</v>
      </c>
      <c r="AU328" s="73"/>
      <c r="AV328" s="73"/>
      <c r="AW328" s="108"/>
      <c r="AX328" s="73"/>
      <c r="AY328" s="139"/>
      <c r="AZ328" s="139"/>
      <c r="BA328" s="139"/>
      <c r="BB328" s="139"/>
      <c r="BC328" s="139"/>
      <c r="BD328" s="139"/>
      <c r="BE328" s="139"/>
      <c r="BF328" s="139"/>
      <c r="BG328" s="139"/>
      <c r="BH328" s="139"/>
      <c r="BI328" s="139"/>
      <c r="BJ328" s="139"/>
      <c r="BK328" s="139"/>
      <c r="BL328" s="139"/>
      <c r="BM328" s="139"/>
      <c r="BN328" s="139"/>
      <c r="BO328" s="139"/>
      <c r="BP328" s="139"/>
      <c r="BQ328" s="139"/>
      <c r="BR328" s="26">
        <f t="shared" si="476"/>
        <v>0</v>
      </c>
    </row>
    <row r="329" spans="2:70" ht="22.8" thickBot="1" x14ac:dyDescent="0.55000000000000004">
      <c r="B329" s="1" t="s">
        <v>384</v>
      </c>
      <c r="C329" s="2" t="s">
        <v>23</v>
      </c>
      <c r="D329" s="13">
        <v>44958</v>
      </c>
      <c r="E329" s="3">
        <v>0</v>
      </c>
      <c r="F329" s="4">
        <f t="shared" ref="F329:F335" si="508">+E329*$C$1</f>
        <v>0</v>
      </c>
      <c r="G329" s="4">
        <f t="shared" ref="G329" si="509">+BR329</f>
        <v>54</v>
      </c>
      <c r="H329" s="42">
        <f t="shared" ref="H329" si="510">+F329+G329</f>
        <v>54</v>
      </c>
      <c r="I329" s="77">
        <v>15</v>
      </c>
      <c r="J329" s="89"/>
      <c r="K329" s="7"/>
      <c r="L329" s="41">
        <v>45689</v>
      </c>
      <c r="M329" s="37"/>
      <c r="N329" s="9" t="s">
        <v>309</v>
      </c>
      <c r="W329" s="1" t="s">
        <v>384</v>
      </c>
      <c r="X329" s="50">
        <v>0</v>
      </c>
      <c r="Y329" s="48">
        <v>0</v>
      </c>
      <c r="Z329" s="49">
        <v>0</v>
      </c>
      <c r="AA329" s="49">
        <v>0</v>
      </c>
      <c r="AB329" s="49">
        <v>0</v>
      </c>
      <c r="AC329" s="31">
        <v>0</v>
      </c>
      <c r="AD329" s="28">
        <f t="shared" si="500"/>
        <v>0</v>
      </c>
      <c r="AE329" s="52">
        <v>0</v>
      </c>
      <c r="AF329" s="52">
        <v>0</v>
      </c>
      <c r="AG329" s="49">
        <v>0</v>
      </c>
      <c r="AH329" s="22">
        <f t="shared" si="501"/>
        <v>0</v>
      </c>
      <c r="AI329" s="52">
        <v>0</v>
      </c>
      <c r="AJ329" s="52">
        <v>0</v>
      </c>
      <c r="AK329" s="49">
        <v>0</v>
      </c>
      <c r="AL329" s="31">
        <f t="shared" si="502"/>
        <v>0</v>
      </c>
      <c r="AM329" s="52">
        <v>0</v>
      </c>
      <c r="AN329" s="52">
        <v>0</v>
      </c>
      <c r="AO329" s="72">
        <v>0</v>
      </c>
      <c r="AP329" s="74">
        <f t="shared" si="503"/>
        <v>0</v>
      </c>
      <c r="AQ329" s="76">
        <f>+(0)+(0)+(0)+(0)+(54)+(0)</f>
        <v>54</v>
      </c>
      <c r="AR329" s="76">
        <f t="shared" si="49"/>
        <v>0</v>
      </c>
      <c r="AS329" s="80">
        <v>54</v>
      </c>
      <c r="AT329" s="80">
        <f t="shared" si="504"/>
        <v>0</v>
      </c>
      <c r="AU329" s="73"/>
      <c r="AV329" s="73"/>
      <c r="AW329" s="108"/>
      <c r="AX329" s="73"/>
      <c r="AY329" s="139"/>
      <c r="AZ329" s="139"/>
      <c r="BA329" s="139"/>
      <c r="BB329" s="139"/>
      <c r="BC329" s="139"/>
      <c r="BD329" s="139"/>
      <c r="BE329" s="139"/>
      <c r="BF329" s="139"/>
      <c r="BG329" s="139"/>
      <c r="BH329" s="139"/>
      <c r="BI329" s="139"/>
      <c r="BJ329" s="139"/>
      <c r="BK329" s="139"/>
      <c r="BL329" s="139"/>
      <c r="BM329" s="139"/>
      <c r="BN329" s="139"/>
      <c r="BO329" s="139"/>
      <c r="BP329" s="139"/>
      <c r="BQ329" s="139"/>
      <c r="BR329" s="26">
        <f t="shared" si="476"/>
        <v>54</v>
      </c>
    </row>
    <row r="330" spans="2:70" ht="22.8" thickBot="1" x14ac:dyDescent="0.55000000000000004">
      <c r="B330" s="1" t="s">
        <v>272</v>
      </c>
      <c r="C330" s="2" t="s">
        <v>21</v>
      </c>
      <c r="D330" s="13">
        <v>43668</v>
      </c>
      <c r="E330" s="3">
        <v>2</v>
      </c>
      <c r="F330" s="4">
        <f t="shared" si="508"/>
        <v>1066.6600000000001</v>
      </c>
      <c r="G330" s="4">
        <f>+BR330</f>
        <v>600</v>
      </c>
      <c r="H330" s="42">
        <f>+F330+G330</f>
        <v>1666.66</v>
      </c>
      <c r="I330" s="77">
        <v>14</v>
      </c>
      <c r="J330" s="89"/>
      <c r="K330" s="7"/>
      <c r="L330" s="41">
        <v>45660</v>
      </c>
      <c r="M330" s="37"/>
      <c r="N330" s="9" t="s">
        <v>309</v>
      </c>
      <c r="W330" s="1" t="s">
        <v>272</v>
      </c>
      <c r="X330" s="50">
        <v>0</v>
      </c>
      <c r="Y330" s="48">
        <v>0</v>
      </c>
      <c r="Z330" s="49">
        <v>0</v>
      </c>
      <c r="AA330" s="49">
        <v>0</v>
      </c>
      <c r="AB330" s="49">
        <v>0</v>
      </c>
      <c r="AC330" s="31">
        <v>0</v>
      </c>
      <c r="AD330" s="28">
        <f t="shared" si="500"/>
        <v>0</v>
      </c>
      <c r="AE330" s="52">
        <f>78+414</f>
        <v>492</v>
      </c>
      <c r="AF330" s="52">
        <f>+(690)+(78)+(0)+(0)+(132)+(162)</f>
        <v>1062</v>
      </c>
      <c r="AG330" s="49">
        <v>150</v>
      </c>
      <c r="AH330" s="22">
        <f t="shared" si="501"/>
        <v>1404</v>
      </c>
      <c r="AI330" s="52">
        <f t="shared" si="47"/>
        <v>0</v>
      </c>
      <c r="AJ330" s="52">
        <f>+(264)+(0)+(0)+(0)+(174)+(0)</f>
        <v>438</v>
      </c>
      <c r="AK330" s="49">
        <v>150</v>
      </c>
      <c r="AL330" s="31">
        <f t="shared" si="502"/>
        <v>1692</v>
      </c>
      <c r="AM330" s="52">
        <f t="shared" si="82"/>
        <v>0</v>
      </c>
      <c r="AN330" s="52">
        <f>+(0)+(132)+(0)+(0)+(84)+(84)</f>
        <v>300</v>
      </c>
      <c r="AO330" s="72">
        <v>150</v>
      </c>
      <c r="AP330" s="74">
        <f t="shared" si="503"/>
        <v>1842</v>
      </c>
      <c r="AQ330" s="76">
        <f>+(96)+(0)+(0)+(0)+(0)+(0)</f>
        <v>96</v>
      </c>
      <c r="AR330" s="76">
        <f t="shared" si="83"/>
        <v>0</v>
      </c>
      <c r="AS330" s="85">
        <v>150</v>
      </c>
      <c r="AT330" s="75">
        <f t="shared" si="504"/>
        <v>1788</v>
      </c>
      <c r="AU330" s="73"/>
      <c r="AV330" s="73"/>
      <c r="AW330" s="108"/>
      <c r="AX330" s="73"/>
      <c r="AY330" s="139"/>
      <c r="AZ330" s="139"/>
      <c r="BA330" s="139"/>
      <c r="BB330" s="139"/>
      <c r="BC330" s="139"/>
      <c r="BD330" s="139"/>
      <c r="BE330" s="139"/>
      <c r="BF330" s="139"/>
      <c r="BG330" s="139"/>
      <c r="BH330" s="139"/>
      <c r="BI330" s="139"/>
      <c r="BJ330" s="139"/>
      <c r="BK330" s="139"/>
      <c r="BL330" s="139"/>
      <c r="BM330" s="139"/>
      <c r="BN330" s="139"/>
      <c r="BO330" s="139"/>
      <c r="BP330" s="139"/>
      <c r="BQ330" s="139"/>
      <c r="BR330" s="26">
        <f t="shared" si="476"/>
        <v>600</v>
      </c>
    </row>
    <row r="331" spans="2:70" ht="22.8" thickBot="1" x14ac:dyDescent="0.55000000000000004">
      <c r="B331" s="1" t="s">
        <v>379</v>
      </c>
      <c r="C331" s="2" t="s">
        <v>20</v>
      </c>
      <c r="D331" s="1"/>
      <c r="E331" s="3">
        <v>0</v>
      </c>
      <c r="F331" s="4">
        <f t="shared" si="508"/>
        <v>0</v>
      </c>
      <c r="G331" s="4">
        <f>+BR331</f>
        <v>54</v>
      </c>
      <c r="H331" s="42">
        <f>+F331+G331</f>
        <v>54</v>
      </c>
      <c r="I331" s="77">
        <v>15</v>
      </c>
      <c r="J331" s="89"/>
      <c r="K331" s="7"/>
      <c r="L331" s="41"/>
      <c r="M331" s="37"/>
      <c r="N331" s="9" t="s">
        <v>309</v>
      </c>
      <c r="W331" s="1" t="s">
        <v>379</v>
      </c>
      <c r="X331" s="50">
        <v>0</v>
      </c>
      <c r="Y331" s="48">
        <v>0</v>
      </c>
      <c r="Z331" s="49">
        <v>0</v>
      </c>
      <c r="AA331" s="49">
        <v>0</v>
      </c>
      <c r="AB331" s="49">
        <v>0</v>
      </c>
      <c r="AC331" s="31">
        <v>0</v>
      </c>
      <c r="AD331" s="28">
        <f t="shared" si="500"/>
        <v>0</v>
      </c>
      <c r="AE331" s="52">
        <v>0</v>
      </c>
      <c r="AF331" s="52">
        <v>0</v>
      </c>
      <c r="AG331" s="49">
        <v>0</v>
      </c>
      <c r="AH331" s="22">
        <f t="shared" si="501"/>
        <v>0</v>
      </c>
      <c r="AI331" s="52">
        <v>0</v>
      </c>
      <c r="AJ331" s="52">
        <v>0</v>
      </c>
      <c r="AK331" s="49">
        <v>0</v>
      </c>
      <c r="AL331" s="31">
        <f t="shared" si="502"/>
        <v>0</v>
      </c>
      <c r="AM331" s="52">
        <v>0</v>
      </c>
      <c r="AN331" s="52">
        <v>0</v>
      </c>
      <c r="AO331" s="72">
        <v>0</v>
      </c>
      <c r="AP331" s="74">
        <f t="shared" si="503"/>
        <v>0</v>
      </c>
      <c r="AQ331" s="76">
        <f>+(0)+(0)+(0)+(0)+(54)+(0)</f>
        <v>54</v>
      </c>
      <c r="AR331" s="76">
        <f t="shared" si="83"/>
        <v>0</v>
      </c>
      <c r="AS331" s="80">
        <v>54</v>
      </c>
      <c r="AT331" s="80">
        <f t="shared" si="504"/>
        <v>0</v>
      </c>
      <c r="AU331" s="73"/>
      <c r="AV331" s="73"/>
      <c r="AW331" s="108"/>
      <c r="AX331" s="73"/>
      <c r="AY331" s="139"/>
      <c r="AZ331" s="139"/>
      <c r="BA331" s="139"/>
      <c r="BB331" s="139"/>
      <c r="BC331" s="139"/>
      <c r="BD331" s="139"/>
      <c r="BE331" s="139"/>
      <c r="BF331" s="139"/>
      <c r="BG331" s="139"/>
      <c r="BH331" s="139"/>
      <c r="BI331" s="139"/>
      <c r="BJ331" s="139"/>
      <c r="BK331" s="139"/>
      <c r="BL331" s="139"/>
      <c r="BM331" s="139"/>
      <c r="BN331" s="139"/>
      <c r="BO331" s="139"/>
      <c r="BP331" s="139"/>
      <c r="BQ331" s="139"/>
      <c r="BR331" s="26">
        <f t="shared" si="476"/>
        <v>54</v>
      </c>
    </row>
    <row r="332" spans="2:70" ht="22.8" thickBot="1" x14ac:dyDescent="0.55000000000000004">
      <c r="B332" s="1" t="s">
        <v>364</v>
      </c>
      <c r="C332" s="2" t="s">
        <v>21</v>
      </c>
      <c r="D332" s="13">
        <v>44707</v>
      </c>
      <c r="E332" s="3">
        <v>0</v>
      </c>
      <c r="F332" s="4">
        <f t="shared" si="508"/>
        <v>0</v>
      </c>
      <c r="G332" s="4">
        <f t="shared" ref="G332" si="511">+BR332</f>
        <v>450</v>
      </c>
      <c r="H332" s="42">
        <f t="shared" ref="H332" si="512">+F332+G332</f>
        <v>450</v>
      </c>
      <c r="I332" s="77">
        <v>15</v>
      </c>
      <c r="J332" s="89"/>
      <c r="K332" s="7"/>
      <c r="L332" s="39">
        <v>45438</v>
      </c>
      <c r="M332" s="37"/>
      <c r="N332" s="9" t="s">
        <v>309</v>
      </c>
      <c r="W332" s="1" t="s">
        <v>364</v>
      </c>
      <c r="X332" s="68">
        <v>204</v>
      </c>
      <c r="Y332" s="48">
        <v>0</v>
      </c>
      <c r="Z332" s="49">
        <v>0</v>
      </c>
      <c r="AA332" s="49">
        <v>0</v>
      </c>
      <c r="AB332" s="49">
        <v>0</v>
      </c>
      <c r="AC332" s="31">
        <v>0</v>
      </c>
      <c r="AD332" s="28">
        <f t="shared" si="500"/>
        <v>0</v>
      </c>
      <c r="AE332" s="52">
        <v>0</v>
      </c>
      <c r="AF332" s="52">
        <v>0</v>
      </c>
      <c r="AG332" s="49">
        <v>0</v>
      </c>
      <c r="AH332" s="22">
        <f t="shared" si="501"/>
        <v>0</v>
      </c>
      <c r="AI332" s="52">
        <v>0</v>
      </c>
      <c r="AJ332" s="52">
        <v>0</v>
      </c>
      <c r="AK332" s="49">
        <v>0</v>
      </c>
      <c r="AL332" s="31">
        <f t="shared" si="502"/>
        <v>0</v>
      </c>
      <c r="AM332" s="52">
        <f t="shared" si="48"/>
        <v>0</v>
      </c>
      <c r="AN332" s="52">
        <f>+(0)+(0)+(0)+(0)+(0)+(96)</f>
        <v>96</v>
      </c>
      <c r="AO332" s="72">
        <v>96</v>
      </c>
      <c r="AP332" s="74">
        <f t="shared" si="503"/>
        <v>0</v>
      </c>
      <c r="AQ332" s="76">
        <f>+(0)+(300)+(0)+(0)+(54)+(0)</f>
        <v>354</v>
      </c>
      <c r="AR332" s="76">
        <f t="shared" si="49"/>
        <v>0</v>
      </c>
      <c r="AS332" s="106">
        <v>150</v>
      </c>
      <c r="AT332" s="106">
        <f t="shared" si="504"/>
        <v>204</v>
      </c>
      <c r="AU332" s="73"/>
      <c r="AV332" s="73"/>
      <c r="AW332" s="108"/>
      <c r="AX332" s="73"/>
      <c r="AY332" s="139"/>
      <c r="AZ332" s="139"/>
      <c r="BA332" s="139"/>
      <c r="BB332" s="139"/>
      <c r="BC332" s="139"/>
      <c r="BD332" s="139"/>
      <c r="BE332" s="139"/>
      <c r="BF332" s="139"/>
      <c r="BG332" s="139"/>
      <c r="BH332" s="139"/>
      <c r="BI332" s="139"/>
      <c r="BJ332" s="139"/>
      <c r="BK332" s="139"/>
      <c r="BL332" s="139"/>
      <c r="BM332" s="139"/>
      <c r="BN332" s="139"/>
      <c r="BO332" s="139"/>
      <c r="BP332" s="139"/>
      <c r="BQ332" s="139"/>
      <c r="BR332" s="26">
        <f t="shared" si="476"/>
        <v>450</v>
      </c>
    </row>
    <row r="333" spans="2:70" ht="22.8" thickBot="1" x14ac:dyDescent="0.55000000000000004">
      <c r="B333" s="1" t="s">
        <v>365</v>
      </c>
      <c r="C333" s="2" t="s">
        <v>21</v>
      </c>
      <c r="D333" s="13">
        <v>44720</v>
      </c>
      <c r="E333" s="3">
        <v>0</v>
      </c>
      <c r="F333" s="4">
        <f t="shared" si="508"/>
        <v>0</v>
      </c>
      <c r="G333" s="4">
        <f t="shared" ref="G333" si="513">+BR333</f>
        <v>201</v>
      </c>
      <c r="H333" s="42">
        <f t="shared" ref="H333" si="514">+F333+G333</f>
        <v>201</v>
      </c>
      <c r="I333" s="77">
        <v>15</v>
      </c>
      <c r="J333" s="89"/>
      <c r="K333" s="7"/>
      <c r="L333" s="41">
        <v>45451</v>
      </c>
      <c r="M333" s="37"/>
      <c r="N333" s="9" t="s">
        <v>309</v>
      </c>
      <c r="W333" s="1" t="s">
        <v>365</v>
      </c>
      <c r="X333" s="50">
        <v>0</v>
      </c>
      <c r="Y333" s="48">
        <v>0</v>
      </c>
      <c r="Z333" s="49">
        <v>0</v>
      </c>
      <c r="AA333" s="49">
        <v>0</v>
      </c>
      <c r="AB333" s="49">
        <v>0</v>
      </c>
      <c r="AC333" s="31">
        <v>0</v>
      </c>
      <c r="AD333" s="28">
        <f t="shared" ref="AD333" si="515">+AC333-AB333</f>
        <v>0</v>
      </c>
      <c r="AE333" s="52">
        <v>0</v>
      </c>
      <c r="AF333" s="52">
        <v>0</v>
      </c>
      <c r="AG333" s="49">
        <v>0</v>
      </c>
      <c r="AH333" s="22">
        <f t="shared" ref="AH333" si="516">+AD333+(AE333+AF333)-AG333</f>
        <v>0</v>
      </c>
      <c r="AI333" s="52">
        <f t="shared" si="47"/>
        <v>0</v>
      </c>
      <c r="AJ333" s="52">
        <f t="shared" si="47"/>
        <v>0</v>
      </c>
      <c r="AK333" s="49">
        <v>0</v>
      </c>
      <c r="AL333" s="31">
        <f t="shared" ref="AL333" si="517">+AH333+AI333+AJ333-AK333</f>
        <v>0</v>
      </c>
      <c r="AM333" s="52">
        <f t="shared" si="82"/>
        <v>0</v>
      </c>
      <c r="AN333" s="52">
        <f>+(0)+(21)+(0)+(0)+(30)+(96)</f>
        <v>147</v>
      </c>
      <c r="AO333" s="72">
        <v>147</v>
      </c>
      <c r="AP333" s="74">
        <f t="shared" ref="AP333" si="518">+AL333+AM333+AN333-AO333</f>
        <v>0</v>
      </c>
      <c r="AQ333" s="76">
        <f>+(0)+(0)+(0)+(0)+(54)+(0)</f>
        <v>54</v>
      </c>
      <c r="AR333" s="76">
        <f t="shared" si="83"/>
        <v>0</v>
      </c>
      <c r="AS333" s="106">
        <v>54</v>
      </c>
      <c r="AT333" s="106">
        <f t="shared" ref="AT333" si="519">+AP333+AQ333+AR333-AS333</f>
        <v>0</v>
      </c>
      <c r="AU333" s="73"/>
      <c r="AV333" s="73"/>
      <c r="AW333" s="108"/>
      <c r="AX333" s="73"/>
      <c r="AY333" s="139"/>
      <c r="AZ333" s="139"/>
      <c r="BA333" s="139"/>
      <c r="BB333" s="139"/>
      <c r="BC333" s="139"/>
      <c r="BD333" s="139"/>
      <c r="BE333" s="139"/>
      <c r="BF333" s="139"/>
      <c r="BG333" s="139"/>
      <c r="BH333" s="139"/>
      <c r="BI333" s="139"/>
      <c r="BJ333" s="139"/>
      <c r="BK333" s="139"/>
      <c r="BL333" s="139"/>
      <c r="BM333" s="139"/>
      <c r="BN333" s="139"/>
      <c r="BO333" s="139"/>
      <c r="BP333" s="139"/>
      <c r="BQ333" s="139"/>
      <c r="BR333" s="26">
        <f t="shared" si="476"/>
        <v>201</v>
      </c>
    </row>
    <row r="334" spans="2:70" ht="22.8" thickBot="1" x14ac:dyDescent="0.55000000000000004">
      <c r="B334" s="1" t="s">
        <v>281</v>
      </c>
      <c r="C334" s="2" t="s">
        <v>23</v>
      </c>
      <c r="D334" s="13">
        <v>43514</v>
      </c>
      <c r="E334" s="3">
        <v>2</v>
      </c>
      <c r="F334" s="4">
        <f t="shared" si="508"/>
        <v>1066.6600000000001</v>
      </c>
      <c r="G334" s="4">
        <f>+BR334</f>
        <v>558</v>
      </c>
      <c r="H334" s="42">
        <f>+F334+G334</f>
        <v>1624.66</v>
      </c>
      <c r="I334" s="77">
        <v>13</v>
      </c>
      <c r="J334" s="105"/>
      <c r="K334" s="7"/>
      <c r="L334" s="41">
        <v>45706</v>
      </c>
      <c r="M334" s="37"/>
      <c r="N334" s="9" t="s">
        <v>309</v>
      </c>
      <c r="W334" s="1" t="s">
        <v>273</v>
      </c>
      <c r="X334" s="50">
        <v>0</v>
      </c>
      <c r="Y334" s="49">
        <v>0</v>
      </c>
      <c r="Z334" s="49">
        <v>0</v>
      </c>
      <c r="AA334" s="49">
        <v>0</v>
      </c>
      <c r="AB334" s="49">
        <v>78</v>
      </c>
      <c r="AC334" s="31">
        <v>78</v>
      </c>
      <c r="AD334" s="28"/>
      <c r="AE334" s="52">
        <v>0</v>
      </c>
      <c r="AF334" s="52">
        <f>+(0)+(132)+(0)+(0)+(54)+(54)</f>
        <v>240</v>
      </c>
      <c r="AG334" s="49">
        <v>120</v>
      </c>
      <c r="AH334" s="22">
        <f t="shared" ref="AH334:AH340" si="520">+AD334+(AE334+AF334)-AG334</f>
        <v>120</v>
      </c>
      <c r="AI334" s="52">
        <f>+(0)+(0)+(0)+(0)+(0)+(0)</f>
        <v>0</v>
      </c>
      <c r="AJ334" s="52">
        <f>+(78)+(0)+(0)+(0)+(78)+(0)</f>
        <v>156</v>
      </c>
      <c r="AK334" s="49">
        <v>120</v>
      </c>
      <c r="AL334" s="69">
        <f t="shared" ref="AL334:AL340" si="521">+AH334+AI334+AJ334-AK334</f>
        <v>156</v>
      </c>
      <c r="AM334" s="52">
        <f>+(0)+(0)+(0)+(0)+(0)+(0)</f>
        <v>0</v>
      </c>
      <c r="AN334" s="52">
        <f>+(0)+(0)+(0)+(0)+(96)+(96)</f>
        <v>192</v>
      </c>
      <c r="AO334" s="72">
        <v>120</v>
      </c>
      <c r="AP334" s="74">
        <f t="shared" ref="AP334:AP340" si="522">+AL334+AM334+AN334-AO334</f>
        <v>228</v>
      </c>
      <c r="AQ334" s="76">
        <f>+(0)+(0)+(0)+(0)+(0)+(0)</f>
        <v>0</v>
      </c>
      <c r="AR334" s="76">
        <f>+(0)+(0)+(0)+(0)+(0)+(0)</f>
        <v>0</v>
      </c>
      <c r="AS334" s="106">
        <v>120</v>
      </c>
      <c r="AT334" s="106">
        <f>+AP334+AQ334+AR334-AS334</f>
        <v>108</v>
      </c>
      <c r="AU334" s="73"/>
      <c r="AV334" s="73"/>
      <c r="AW334" s="108"/>
      <c r="AX334" s="73"/>
      <c r="AY334" s="139"/>
      <c r="AZ334" s="139"/>
      <c r="BA334" s="139"/>
      <c r="BB334" s="139"/>
      <c r="BC334" s="139"/>
      <c r="BD334" s="139"/>
      <c r="BE334" s="139"/>
      <c r="BF334" s="139"/>
      <c r="BG334" s="139"/>
      <c r="BH334" s="139"/>
      <c r="BI334" s="139"/>
      <c r="BJ334" s="139"/>
      <c r="BK334" s="139"/>
      <c r="BL334" s="139"/>
      <c r="BM334" s="139"/>
      <c r="BN334" s="139"/>
      <c r="BO334" s="139"/>
      <c r="BP334" s="139"/>
      <c r="BQ334" s="139"/>
      <c r="BR334" s="26">
        <f t="shared" si="476"/>
        <v>558</v>
      </c>
    </row>
    <row r="335" spans="2:70" ht="22.8" thickBot="1" x14ac:dyDescent="0.55000000000000004">
      <c r="B335" s="1" t="s">
        <v>334</v>
      </c>
      <c r="C335" s="2" t="s">
        <v>23</v>
      </c>
      <c r="D335" s="13">
        <v>44270</v>
      </c>
      <c r="E335" s="3">
        <v>3</v>
      </c>
      <c r="F335" s="4">
        <f t="shared" si="508"/>
        <v>1599.9900000000002</v>
      </c>
      <c r="G335" s="4">
        <f t="shared" ref="G335" si="523">+BR335</f>
        <v>481.8</v>
      </c>
      <c r="H335" s="42">
        <f t="shared" ref="H335" si="524">+F335+G335</f>
        <v>2081.7900000000004</v>
      </c>
      <c r="I335" s="77">
        <v>13</v>
      </c>
      <c r="J335" s="89"/>
      <c r="K335" s="7"/>
      <c r="L335" s="41">
        <v>45623</v>
      </c>
      <c r="M335" s="37"/>
      <c r="N335" s="9" t="s">
        <v>309</v>
      </c>
      <c r="W335" s="1" t="s">
        <v>334</v>
      </c>
      <c r="X335" s="68">
        <v>121.8</v>
      </c>
      <c r="Y335" s="48">
        <v>0</v>
      </c>
      <c r="Z335" s="49">
        <v>0</v>
      </c>
      <c r="AA335" s="49">
        <v>0</v>
      </c>
      <c r="AB335" s="49">
        <v>0</v>
      </c>
      <c r="AC335" s="31">
        <v>0</v>
      </c>
      <c r="AD335" s="28">
        <f t="shared" ref="AD335:AD340" si="525">+AC335-AB335</f>
        <v>0</v>
      </c>
      <c r="AE335" s="52">
        <v>0</v>
      </c>
      <c r="AF335" s="52">
        <v>0</v>
      </c>
      <c r="AG335" s="49">
        <v>0</v>
      </c>
      <c r="AH335" s="22">
        <f t="shared" si="520"/>
        <v>0</v>
      </c>
      <c r="AI335" s="52">
        <f t="shared" si="81"/>
        <v>0</v>
      </c>
      <c r="AJ335" s="52">
        <f>+(130.2)+(54.6)+(108)+(0)+(0)+(0)</f>
        <v>292.79999999999995</v>
      </c>
      <c r="AK335" s="49">
        <v>120</v>
      </c>
      <c r="AL335" s="31">
        <f t="shared" si="521"/>
        <v>172.79999999999995</v>
      </c>
      <c r="AM335" s="52">
        <f>+(0)+(0)+(0)+(78)+(0)+(0)</f>
        <v>78</v>
      </c>
      <c r="AN335" s="52">
        <f>+(108)+(138)+(0)+(0)+(234)+(214.2)</f>
        <v>694.2</v>
      </c>
      <c r="AO335" s="72">
        <v>120</v>
      </c>
      <c r="AP335" s="74">
        <f t="shared" si="522"/>
        <v>825</v>
      </c>
      <c r="AQ335" s="76">
        <f>+(0)+(0)+(0)+(0)+(54)+(0)</f>
        <v>54</v>
      </c>
      <c r="AR335" s="76">
        <f t="shared" si="83"/>
        <v>0</v>
      </c>
      <c r="AS335" s="106">
        <v>120</v>
      </c>
      <c r="AT335" s="106">
        <f>+AP335+AQ335+AR335-AS335</f>
        <v>759</v>
      </c>
      <c r="AU335" s="73"/>
      <c r="AV335" s="73"/>
      <c r="AW335" s="108"/>
      <c r="AX335" s="73"/>
      <c r="AY335" s="139"/>
      <c r="AZ335" s="139"/>
      <c r="BA335" s="139"/>
      <c r="BB335" s="139"/>
      <c r="BC335" s="139"/>
      <c r="BD335" s="139"/>
      <c r="BE335" s="139"/>
      <c r="BF335" s="139"/>
      <c r="BG335" s="139"/>
      <c r="BH335" s="139"/>
      <c r="BI335" s="139"/>
      <c r="BJ335" s="139"/>
      <c r="BK335" s="139"/>
      <c r="BL335" s="139"/>
      <c r="BM335" s="139"/>
      <c r="BN335" s="139"/>
      <c r="BO335" s="139"/>
      <c r="BP335" s="139"/>
      <c r="BQ335" s="139"/>
      <c r="BR335" s="26">
        <f t="shared" si="476"/>
        <v>481.8</v>
      </c>
    </row>
    <row r="336" spans="2:70" ht="22.8" thickBot="1" x14ac:dyDescent="0.55000000000000004">
      <c r="B336" s="1" t="s">
        <v>399</v>
      </c>
      <c r="C336" s="2" t="s">
        <v>23</v>
      </c>
      <c r="D336" s="18">
        <v>45057</v>
      </c>
      <c r="E336" s="3">
        <v>0</v>
      </c>
      <c r="F336" s="4">
        <f t="shared" ref="F336" si="526">+E336*$C$1</f>
        <v>0</v>
      </c>
      <c r="G336" s="4">
        <f t="shared" ref="G336" si="527">+BR336</f>
        <v>0</v>
      </c>
      <c r="H336" s="42">
        <f t="shared" ref="H336" si="528">+F336+G336</f>
        <v>0</v>
      </c>
      <c r="I336" s="77">
        <v>15</v>
      </c>
      <c r="J336" s="89"/>
      <c r="K336" s="7"/>
      <c r="L336" s="39">
        <v>45788</v>
      </c>
      <c r="M336" s="37"/>
      <c r="N336" s="9" t="s">
        <v>309</v>
      </c>
      <c r="W336" s="1" t="s">
        <v>400</v>
      </c>
      <c r="X336" s="50">
        <v>0</v>
      </c>
      <c r="Y336" s="48">
        <v>0</v>
      </c>
      <c r="Z336" s="49">
        <v>0</v>
      </c>
      <c r="AA336" s="49">
        <v>0</v>
      </c>
      <c r="AB336" s="49">
        <v>0</v>
      </c>
      <c r="AC336" s="31">
        <v>0</v>
      </c>
      <c r="AD336" s="28">
        <f t="shared" si="525"/>
        <v>0</v>
      </c>
      <c r="AE336" s="52">
        <v>0</v>
      </c>
      <c r="AF336" s="52">
        <v>0</v>
      </c>
      <c r="AG336" s="49">
        <v>0</v>
      </c>
      <c r="AH336" s="22">
        <f t="shared" si="520"/>
        <v>0</v>
      </c>
      <c r="AI336" s="52">
        <v>0</v>
      </c>
      <c r="AJ336" s="52">
        <v>0</v>
      </c>
      <c r="AK336" s="49">
        <v>0</v>
      </c>
      <c r="AL336" s="31">
        <f t="shared" si="521"/>
        <v>0</v>
      </c>
      <c r="AM336" s="52">
        <v>0</v>
      </c>
      <c r="AN336" s="52">
        <v>0</v>
      </c>
      <c r="AO336" s="72">
        <v>0</v>
      </c>
      <c r="AP336" s="74">
        <f t="shared" si="522"/>
        <v>0</v>
      </c>
      <c r="AQ336" s="76">
        <f t="shared" si="83"/>
        <v>0</v>
      </c>
      <c r="AR336" s="76">
        <f t="shared" si="83"/>
        <v>0</v>
      </c>
      <c r="AS336" s="106"/>
      <c r="AT336" s="106"/>
      <c r="AU336" s="73"/>
      <c r="AV336" s="73"/>
      <c r="AW336" s="108"/>
      <c r="AX336" s="73"/>
      <c r="AY336" s="139"/>
      <c r="AZ336" s="139"/>
      <c r="BA336" s="139"/>
      <c r="BB336" s="139"/>
      <c r="BC336" s="139"/>
      <c r="BD336" s="139"/>
      <c r="BE336" s="139"/>
      <c r="BF336" s="139"/>
      <c r="BG336" s="139"/>
      <c r="BH336" s="139"/>
      <c r="BI336" s="139"/>
      <c r="BJ336" s="139"/>
      <c r="BK336" s="139"/>
      <c r="BL336" s="139"/>
      <c r="BM336" s="139"/>
      <c r="BN336" s="139"/>
      <c r="BO336" s="139"/>
      <c r="BP336" s="139"/>
      <c r="BQ336" s="139"/>
      <c r="BR336" s="26">
        <f t="shared" si="476"/>
        <v>0</v>
      </c>
    </row>
    <row r="337" spans="2:70" ht="22.8" thickBot="1" x14ac:dyDescent="0.55000000000000004">
      <c r="B337" s="1" t="s">
        <v>34</v>
      </c>
      <c r="C337" s="2" t="s">
        <v>20</v>
      </c>
      <c r="D337" s="1" t="s">
        <v>117</v>
      </c>
      <c r="E337" s="3">
        <v>7</v>
      </c>
      <c r="F337" s="4">
        <f>+E337*$C$1</f>
        <v>3733.3100000000004</v>
      </c>
      <c r="G337" s="4">
        <f>+BR337</f>
        <v>2046</v>
      </c>
      <c r="H337" s="42">
        <f>+F337+G337</f>
        <v>5779.31</v>
      </c>
      <c r="I337" s="77">
        <v>9</v>
      </c>
      <c r="J337" s="89"/>
      <c r="K337" s="7"/>
      <c r="L337" s="110">
        <v>45400</v>
      </c>
      <c r="M337" s="37"/>
      <c r="N337" s="9" t="s">
        <v>309</v>
      </c>
      <c r="W337" s="1" t="s">
        <v>34</v>
      </c>
      <c r="X337" s="50">
        <v>750</v>
      </c>
      <c r="Y337" s="48">
        <v>150</v>
      </c>
      <c r="Z337" s="49">
        <v>96</v>
      </c>
      <c r="AA337" s="49">
        <v>150</v>
      </c>
      <c r="AB337" s="49">
        <v>150</v>
      </c>
      <c r="AC337" s="31">
        <v>156</v>
      </c>
      <c r="AD337" s="28">
        <f t="shared" si="525"/>
        <v>6</v>
      </c>
      <c r="AE337" s="52">
        <v>162</v>
      </c>
      <c r="AF337" s="52">
        <f>+(156)+(0)+(0)+(0)+(54)+(54)</f>
        <v>264</v>
      </c>
      <c r="AG337" s="49">
        <v>150</v>
      </c>
      <c r="AH337" s="22">
        <f t="shared" si="520"/>
        <v>282</v>
      </c>
      <c r="AI337" s="52">
        <f>+(0)+(0)+(0)+(0)+(0)+(0)</f>
        <v>0</v>
      </c>
      <c r="AJ337" s="52">
        <f>+(78)+(78)+(0)+(0)+(0)+(96)</f>
        <v>252</v>
      </c>
      <c r="AK337" s="49">
        <v>150</v>
      </c>
      <c r="AL337" s="31">
        <f t="shared" si="521"/>
        <v>384</v>
      </c>
      <c r="AM337" s="52">
        <f>+(0)+(0)+(0)+(0)+(0)+(0)</f>
        <v>0</v>
      </c>
      <c r="AN337" s="52">
        <f>+(78)+(0)+(0)+(0)+(0)+(0)</f>
        <v>78</v>
      </c>
      <c r="AO337" s="72">
        <v>150</v>
      </c>
      <c r="AP337" s="74">
        <f t="shared" si="522"/>
        <v>312</v>
      </c>
      <c r="AQ337" s="76">
        <f>+(0)+(0)+(0)+(0)+(0)+(0)</f>
        <v>0</v>
      </c>
      <c r="AR337" s="76">
        <f>+(0)+(0)+(0)+(0)+(0)+(0)</f>
        <v>0</v>
      </c>
      <c r="AS337" s="74">
        <v>150</v>
      </c>
      <c r="AT337" s="74">
        <f>+AP337+AQ337+AR337-AS337</f>
        <v>162</v>
      </c>
      <c r="AU337" s="73">
        <f t="shared" si="44"/>
        <v>0</v>
      </c>
      <c r="AV337" s="73">
        <f t="shared" si="30"/>
        <v>0</v>
      </c>
      <c r="AW337" s="108">
        <v>150</v>
      </c>
      <c r="AX337" s="73">
        <f t="shared" ref="AX337:AX342" si="529">+AT337+AU337+AV337-AW337</f>
        <v>12</v>
      </c>
      <c r="AY337" s="139"/>
      <c r="AZ337" s="139"/>
      <c r="BA337" s="139"/>
      <c r="BB337" s="139"/>
      <c r="BC337" s="139"/>
      <c r="BD337" s="139"/>
      <c r="BE337" s="139"/>
      <c r="BF337" s="139"/>
      <c r="BG337" s="139"/>
      <c r="BH337" s="139"/>
      <c r="BI337" s="139"/>
      <c r="BJ337" s="139"/>
      <c r="BK337" s="139"/>
      <c r="BL337" s="139"/>
      <c r="BM337" s="139"/>
      <c r="BN337" s="139"/>
      <c r="BO337" s="139"/>
      <c r="BP337" s="139"/>
      <c r="BQ337" s="139"/>
      <c r="BR337" s="107">
        <f t="shared" ref="BR337:BR362" si="530">SUM(X337:AA337)+AB337+AG337+AK337+AO337+AS337+AW337</f>
        <v>2046</v>
      </c>
    </row>
    <row r="338" spans="2:70" ht="22.8" thickBot="1" x14ac:dyDescent="0.55000000000000004">
      <c r="B338" s="1" t="s">
        <v>215</v>
      </c>
      <c r="C338" s="2" t="s">
        <v>20</v>
      </c>
      <c r="D338" s="13">
        <v>42736</v>
      </c>
      <c r="E338" s="3">
        <v>4</v>
      </c>
      <c r="F338" s="4">
        <f>+E338*$C$1</f>
        <v>2133.3200000000002</v>
      </c>
      <c r="G338" s="4">
        <f>+BR338</f>
        <v>566.65</v>
      </c>
      <c r="H338" s="42">
        <f>+F338+G338</f>
        <v>2699.9700000000003</v>
      </c>
      <c r="I338" s="77">
        <v>12</v>
      </c>
      <c r="J338" s="89"/>
      <c r="K338" s="7"/>
      <c r="L338" s="56">
        <v>45795</v>
      </c>
      <c r="M338" s="37"/>
      <c r="N338" s="9" t="s">
        <v>309</v>
      </c>
      <c r="W338" s="1" t="s">
        <v>215</v>
      </c>
      <c r="X338" s="50">
        <v>0</v>
      </c>
      <c r="Y338" s="48">
        <v>0</v>
      </c>
      <c r="Z338" s="49">
        <v>150</v>
      </c>
      <c r="AA338" s="49">
        <v>150</v>
      </c>
      <c r="AB338" s="49">
        <v>104.65</v>
      </c>
      <c r="AC338" s="31">
        <v>104.65</v>
      </c>
      <c r="AD338" s="28">
        <f t="shared" si="525"/>
        <v>0</v>
      </c>
      <c r="AE338" s="52">
        <v>0</v>
      </c>
      <c r="AF338" s="52">
        <f>+(0)+(162)+(0)+(0)+(0)+(0)</f>
        <v>162</v>
      </c>
      <c r="AG338" s="49">
        <v>150</v>
      </c>
      <c r="AH338" s="22">
        <f t="shared" si="520"/>
        <v>12</v>
      </c>
      <c r="AI338" s="52">
        <f t="shared" si="47"/>
        <v>0</v>
      </c>
      <c r="AJ338" s="52">
        <f t="shared" si="47"/>
        <v>0</v>
      </c>
      <c r="AK338" s="49">
        <v>12</v>
      </c>
      <c r="AL338" s="31">
        <f t="shared" si="521"/>
        <v>0</v>
      </c>
      <c r="AM338" s="52">
        <f t="shared" si="48"/>
        <v>0</v>
      </c>
      <c r="AN338" s="52">
        <f t="shared" si="48"/>
        <v>0</v>
      </c>
      <c r="AO338" s="72">
        <v>0</v>
      </c>
      <c r="AP338" s="74">
        <f t="shared" si="522"/>
        <v>0</v>
      </c>
      <c r="AQ338" s="76">
        <f t="shared" si="49"/>
        <v>0</v>
      </c>
      <c r="AR338" s="76">
        <f t="shared" si="49"/>
        <v>0</v>
      </c>
      <c r="AS338" s="74">
        <v>0</v>
      </c>
      <c r="AT338" s="74">
        <f>+AP338+AQ338+AR338-AS338</f>
        <v>0</v>
      </c>
      <c r="AU338" s="73">
        <f t="shared" si="44"/>
        <v>0</v>
      </c>
      <c r="AV338" s="73">
        <f t="shared" si="30"/>
        <v>0</v>
      </c>
      <c r="AW338" s="108">
        <v>0</v>
      </c>
      <c r="AX338" s="73">
        <f t="shared" si="529"/>
        <v>0</v>
      </c>
      <c r="AY338" s="139"/>
      <c r="AZ338" s="139"/>
      <c r="BA338" s="139"/>
      <c r="BB338" s="139"/>
      <c r="BC338" s="139"/>
      <c r="BD338" s="139"/>
      <c r="BE338" s="139"/>
      <c r="BF338" s="139"/>
      <c r="BG338" s="139"/>
      <c r="BH338" s="139"/>
      <c r="BI338" s="139"/>
      <c r="BJ338" s="139"/>
      <c r="BK338" s="139"/>
      <c r="BL338" s="139"/>
      <c r="BM338" s="139"/>
      <c r="BN338" s="139"/>
      <c r="BO338" s="139"/>
      <c r="BP338" s="139"/>
      <c r="BQ338" s="139"/>
      <c r="BR338" s="107">
        <f t="shared" si="530"/>
        <v>566.65</v>
      </c>
    </row>
    <row r="339" spans="2:70" ht="22.8" thickBot="1" x14ac:dyDescent="0.55000000000000004">
      <c r="B339" s="1" t="s">
        <v>331</v>
      </c>
      <c r="C339" s="2" t="s">
        <v>20</v>
      </c>
      <c r="D339" s="13">
        <v>44271</v>
      </c>
      <c r="E339" s="3">
        <v>1</v>
      </c>
      <c r="F339" s="4">
        <f>+E339*$C$1</f>
        <v>533.33000000000004</v>
      </c>
      <c r="G339" s="4">
        <f>+BR339</f>
        <v>108</v>
      </c>
      <c r="H339" s="42">
        <f>+F339+G339</f>
        <v>641.33000000000004</v>
      </c>
      <c r="I339" s="77">
        <v>15</v>
      </c>
      <c r="J339" s="89"/>
      <c r="K339" s="7"/>
      <c r="L339" s="41">
        <v>45732</v>
      </c>
      <c r="M339" s="37"/>
      <c r="N339" s="9" t="s">
        <v>309</v>
      </c>
      <c r="W339" s="1" t="s">
        <v>331</v>
      </c>
      <c r="X339" s="50">
        <v>0</v>
      </c>
      <c r="Y339" s="48">
        <v>0</v>
      </c>
      <c r="Z339" s="49">
        <v>0</v>
      </c>
      <c r="AA339" s="49">
        <v>0</v>
      </c>
      <c r="AB339" s="49">
        <v>0</v>
      </c>
      <c r="AC339" s="31">
        <v>0</v>
      </c>
      <c r="AD339" s="28">
        <f t="shared" si="525"/>
        <v>0</v>
      </c>
      <c r="AE339" s="52">
        <v>0</v>
      </c>
      <c r="AF339" s="52">
        <v>0</v>
      </c>
      <c r="AG339" s="49">
        <v>0</v>
      </c>
      <c r="AH339" s="22">
        <f t="shared" si="520"/>
        <v>0</v>
      </c>
      <c r="AI339" s="52">
        <f t="shared" si="47"/>
        <v>0</v>
      </c>
      <c r="AJ339" s="52">
        <f>+(78)+(30)+(0)+(0)+(0)+(0)</f>
        <v>108</v>
      </c>
      <c r="AK339" s="49">
        <v>108</v>
      </c>
      <c r="AL339" s="31">
        <f t="shared" si="521"/>
        <v>0</v>
      </c>
      <c r="AM339" s="52">
        <f t="shared" si="48"/>
        <v>0</v>
      </c>
      <c r="AN339" s="52">
        <f t="shared" si="48"/>
        <v>0</v>
      </c>
      <c r="AO339" s="72">
        <v>0</v>
      </c>
      <c r="AP339" s="74">
        <f t="shared" si="522"/>
        <v>0</v>
      </c>
      <c r="AQ339" s="76">
        <f t="shared" si="49"/>
        <v>0</v>
      </c>
      <c r="AR339" s="76">
        <f t="shared" si="49"/>
        <v>0</v>
      </c>
      <c r="AS339" s="74">
        <v>0</v>
      </c>
      <c r="AT339" s="74">
        <f>+AP339+AQ339+AR339-AS339</f>
        <v>0</v>
      </c>
      <c r="AU339" s="73">
        <f t="shared" si="44"/>
        <v>0</v>
      </c>
      <c r="AV339" s="73">
        <f t="shared" si="30"/>
        <v>0</v>
      </c>
      <c r="AW339" s="108">
        <v>0</v>
      </c>
      <c r="AX339" s="73">
        <f t="shared" si="529"/>
        <v>0</v>
      </c>
      <c r="AY339" s="139"/>
      <c r="AZ339" s="139"/>
      <c r="BA339" s="139"/>
      <c r="BB339" s="139"/>
      <c r="BC339" s="139"/>
      <c r="BD339" s="139"/>
      <c r="BE339" s="139"/>
      <c r="BF339" s="139"/>
      <c r="BG339" s="139"/>
      <c r="BH339" s="139"/>
      <c r="BI339" s="139"/>
      <c r="BJ339" s="139"/>
      <c r="BK339" s="139"/>
      <c r="BL339" s="139"/>
      <c r="BM339" s="139"/>
      <c r="BN339" s="139"/>
      <c r="BO339" s="139"/>
      <c r="BP339" s="139"/>
      <c r="BQ339" s="139"/>
      <c r="BR339" s="107">
        <f t="shared" si="530"/>
        <v>108</v>
      </c>
    </row>
    <row r="340" spans="2:70" ht="22.8" thickBot="1" x14ac:dyDescent="0.55000000000000004">
      <c r="B340" s="1" t="s">
        <v>305</v>
      </c>
      <c r="C340" s="2" t="s">
        <v>20</v>
      </c>
      <c r="D340" s="13">
        <v>43305</v>
      </c>
      <c r="E340" s="4">
        <v>2</v>
      </c>
      <c r="F340" s="4">
        <f>+E340*$C$1</f>
        <v>1066.6600000000001</v>
      </c>
      <c r="G340" s="4">
        <f>+BR340</f>
        <v>900</v>
      </c>
      <c r="H340" s="42">
        <f>+F340+G340</f>
        <v>1966.66</v>
      </c>
      <c r="I340" s="111">
        <v>13</v>
      </c>
      <c r="J340" s="105"/>
      <c r="K340" s="7"/>
      <c r="L340" s="59">
        <v>45497</v>
      </c>
      <c r="M340" s="7"/>
      <c r="N340" s="9" t="s">
        <v>309</v>
      </c>
      <c r="W340" s="1" t="s">
        <v>305</v>
      </c>
      <c r="X340" s="48">
        <v>0</v>
      </c>
      <c r="Y340" s="48">
        <v>0</v>
      </c>
      <c r="Z340" s="49">
        <v>0</v>
      </c>
      <c r="AA340" s="49">
        <v>0</v>
      </c>
      <c r="AB340" s="49">
        <v>150</v>
      </c>
      <c r="AC340" s="31">
        <v>240</v>
      </c>
      <c r="AD340" s="28">
        <f t="shared" si="525"/>
        <v>90</v>
      </c>
      <c r="AE340" s="52">
        <v>0</v>
      </c>
      <c r="AF340" s="52">
        <f>+(0)+(0)+(0)+(0)+(0)+(162)</f>
        <v>162</v>
      </c>
      <c r="AG340" s="49">
        <v>150</v>
      </c>
      <c r="AH340" s="22">
        <f t="shared" si="520"/>
        <v>102</v>
      </c>
      <c r="AI340" s="52">
        <f t="shared" si="47"/>
        <v>0</v>
      </c>
      <c r="AJ340" s="52">
        <f>+(0)+(75.6)+(0)+(0)+(0)+(0)</f>
        <v>75.599999999999994</v>
      </c>
      <c r="AK340" s="49">
        <v>150</v>
      </c>
      <c r="AL340" s="31">
        <f t="shared" si="521"/>
        <v>27.599999999999994</v>
      </c>
      <c r="AM340" s="52">
        <f t="shared" si="48"/>
        <v>0</v>
      </c>
      <c r="AN340" s="52">
        <f>+(0)+(108)+(0)+(0)+(120)+(216)</f>
        <v>444</v>
      </c>
      <c r="AO340" s="72">
        <v>150</v>
      </c>
      <c r="AP340" s="74">
        <f t="shared" si="522"/>
        <v>321.60000000000002</v>
      </c>
      <c r="AQ340" s="76">
        <f>+(0)+(0)+(0)+(0)+(0)+(108)</f>
        <v>108</v>
      </c>
      <c r="AR340" s="76">
        <f t="shared" si="49"/>
        <v>0</v>
      </c>
      <c r="AS340" s="74">
        <v>150</v>
      </c>
      <c r="AT340" s="74">
        <f>+AP340+AQ340+AR340-AS340</f>
        <v>279.60000000000002</v>
      </c>
      <c r="AU340" s="73">
        <f t="shared" si="44"/>
        <v>0</v>
      </c>
      <c r="AV340" s="73">
        <f t="shared" si="30"/>
        <v>0</v>
      </c>
      <c r="AW340" s="108">
        <v>150</v>
      </c>
      <c r="AX340" s="73">
        <f t="shared" si="529"/>
        <v>129.60000000000002</v>
      </c>
      <c r="AY340" s="139"/>
      <c r="AZ340" s="139"/>
      <c r="BA340" s="139"/>
      <c r="BB340" s="139"/>
      <c r="BC340" s="139"/>
      <c r="BD340" s="139"/>
      <c r="BE340" s="139"/>
      <c r="BF340" s="139"/>
      <c r="BG340" s="139"/>
      <c r="BH340" s="139"/>
      <c r="BI340" s="139"/>
      <c r="BJ340" s="139"/>
      <c r="BK340" s="139"/>
      <c r="BL340" s="139"/>
      <c r="BM340" s="139"/>
      <c r="BN340" s="139"/>
      <c r="BO340" s="139"/>
      <c r="BP340" s="139"/>
      <c r="BQ340" s="139"/>
      <c r="BR340" s="107">
        <f t="shared" si="530"/>
        <v>900</v>
      </c>
    </row>
    <row r="341" spans="2:70" ht="22.8" thickBot="1" x14ac:dyDescent="0.55000000000000004">
      <c r="B341" s="1" t="s">
        <v>244</v>
      </c>
      <c r="C341" s="2" t="s">
        <v>23</v>
      </c>
      <c r="D341" s="13">
        <v>43282</v>
      </c>
      <c r="E341" s="3">
        <v>2</v>
      </c>
      <c r="F341" s="4">
        <f>+E341*$C$1</f>
        <v>1066.6600000000001</v>
      </c>
      <c r="G341" s="4">
        <f>+BR341</f>
        <v>438</v>
      </c>
      <c r="H341" s="42">
        <f>+F341+G341</f>
        <v>1504.66</v>
      </c>
      <c r="I341" s="77">
        <v>14</v>
      </c>
      <c r="J341" s="89"/>
      <c r="K341" s="7"/>
      <c r="L341" s="41">
        <v>45474</v>
      </c>
      <c r="M341" s="37"/>
      <c r="N341" s="9" t="s">
        <v>309</v>
      </c>
      <c r="W341" s="1" t="s">
        <v>244</v>
      </c>
      <c r="X341" s="50">
        <v>0</v>
      </c>
      <c r="Y341" s="48">
        <v>0</v>
      </c>
      <c r="Z341" s="49">
        <v>0</v>
      </c>
      <c r="AA341" s="49">
        <v>96</v>
      </c>
      <c r="AB341" s="49">
        <v>120</v>
      </c>
      <c r="AC341" s="31">
        <v>210</v>
      </c>
      <c r="AD341" s="28">
        <f>+AC341-AB341</f>
        <v>90</v>
      </c>
      <c r="AE341" s="52">
        <v>78</v>
      </c>
      <c r="AF341" s="52">
        <f>+(0)+(0)+(0)+(0)+(0)+(54)</f>
        <v>54</v>
      </c>
      <c r="AG341" s="49">
        <v>120</v>
      </c>
      <c r="AH341" s="22">
        <f>+AD341+(AE341+AF341)-AG341</f>
        <v>102</v>
      </c>
      <c r="AI341" s="52">
        <f t="shared" si="81"/>
        <v>0</v>
      </c>
      <c r="AJ341" s="52">
        <f t="shared" si="81"/>
        <v>0</v>
      </c>
      <c r="AK341" s="49">
        <v>102</v>
      </c>
      <c r="AL341" s="31">
        <f>+AH341+AI341+AJ341-AK341</f>
        <v>0</v>
      </c>
      <c r="AM341" s="52">
        <f t="shared" si="82"/>
        <v>0</v>
      </c>
      <c r="AN341" s="52">
        <f t="shared" si="82"/>
        <v>0</v>
      </c>
      <c r="AO341" s="72">
        <v>0</v>
      </c>
      <c r="AP341" s="74">
        <f>+AL341+AM341+AN341-AO341</f>
        <v>0</v>
      </c>
      <c r="AQ341" s="76">
        <f t="shared" si="83"/>
        <v>0</v>
      </c>
      <c r="AR341" s="76">
        <f t="shared" si="83"/>
        <v>0</v>
      </c>
      <c r="AS341" s="74">
        <v>0</v>
      </c>
      <c r="AT341" s="74">
        <f>+AP341+AQ341+AR341-AS341</f>
        <v>0</v>
      </c>
      <c r="AU341" s="73">
        <f t="shared" si="104"/>
        <v>0</v>
      </c>
      <c r="AV341" s="73">
        <f t="shared" si="110"/>
        <v>0</v>
      </c>
      <c r="AW341" s="108">
        <v>0</v>
      </c>
      <c r="AX341" s="73">
        <f t="shared" si="529"/>
        <v>0</v>
      </c>
      <c r="AY341" s="139"/>
      <c r="AZ341" s="139"/>
      <c r="BA341" s="139"/>
      <c r="BB341" s="139"/>
      <c r="BC341" s="139"/>
      <c r="BD341" s="139"/>
      <c r="BE341" s="139"/>
      <c r="BF341" s="139"/>
      <c r="BG341" s="139"/>
      <c r="BH341" s="139"/>
      <c r="BI341" s="139"/>
      <c r="BJ341" s="139"/>
      <c r="BK341" s="139"/>
      <c r="BL341" s="139"/>
      <c r="BM341" s="139"/>
      <c r="BN341" s="139"/>
      <c r="BO341" s="139"/>
      <c r="BP341" s="139"/>
      <c r="BQ341" s="139"/>
      <c r="BR341" s="107">
        <f t="shared" si="530"/>
        <v>438</v>
      </c>
    </row>
    <row r="342" spans="2:70" ht="22.8" thickBot="1" x14ac:dyDescent="0.55000000000000004">
      <c r="B342" s="1" t="s">
        <v>356</v>
      </c>
      <c r="C342" s="2" t="s">
        <v>23</v>
      </c>
      <c r="D342" s="18">
        <v>44621</v>
      </c>
      <c r="E342" s="3">
        <v>1</v>
      </c>
      <c r="F342" s="4">
        <f t="shared" ref="F342" si="531">+E342*$C$1</f>
        <v>533.33000000000004</v>
      </c>
      <c r="G342" s="4">
        <f t="shared" ref="G342" si="532">+BR342</f>
        <v>0</v>
      </c>
      <c r="H342" s="42">
        <f t="shared" ref="H342" si="533">+F342+G342</f>
        <v>533.33000000000004</v>
      </c>
      <c r="I342" s="77">
        <v>15</v>
      </c>
      <c r="J342" s="89"/>
      <c r="K342" s="7"/>
      <c r="L342" s="41">
        <v>45495</v>
      </c>
      <c r="M342" s="37"/>
      <c r="N342" s="9" t="s">
        <v>309</v>
      </c>
      <c r="W342" s="1" t="s">
        <v>356</v>
      </c>
      <c r="X342" s="50">
        <v>0</v>
      </c>
      <c r="Y342" s="48">
        <v>0</v>
      </c>
      <c r="Z342" s="49">
        <v>0</v>
      </c>
      <c r="AA342" s="49">
        <v>0</v>
      </c>
      <c r="AB342" s="49">
        <v>0</v>
      </c>
      <c r="AC342" s="31">
        <v>0</v>
      </c>
      <c r="AD342" s="28">
        <f>+AC342-AB342</f>
        <v>0</v>
      </c>
      <c r="AE342" s="52">
        <v>0</v>
      </c>
      <c r="AF342" s="52">
        <v>0</v>
      </c>
      <c r="AG342" s="49">
        <v>0</v>
      </c>
      <c r="AH342" s="22">
        <f>+AD342+(AE342+AF342)-AG342</f>
        <v>0</v>
      </c>
      <c r="AI342" s="52">
        <v>0</v>
      </c>
      <c r="AJ342" s="52">
        <v>0</v>
      </c>
      <c r="AK342" s="49">
        <v>0</v>
      </c>
      <c r="AL342" s="31">
        <f>+AH342+AI342+AJ342-AK342</f>
        <v>0</v>
      </c>
      <c r="AM342" s="52">
        <f t="shared" si="339"/>
        <v>0</v>
      </c>
      <c r="AN342" s="52">
        <f t="shared" si="339"/>
        <v>0</v>
      </c>
      <c r="AO342" s="72">
        <v>0</v>
      </c>
      <c r="AP342" s="74">
        <f>+AL342+AM342+AN342-AO342</f>
        <v>0</v>
      </c>
      <c r="AQ342" s="76">
        <f t="shared" si="340"/>
        <v>0</v>
      </c>
      <c r="AR342" s="76">
        <f t="shared" si="340"/>
        <v>0</v>
      </c>
      <c r="AS342" s="74">
        <v>0</v>
      </c>
      <c r="AT342" s="74">
        <f t="shared" ref="AT342" si="534">+AP342+AQ342+AR342-AS342</f>
        <v>0</v>
      </c>
      <c r="AU342" s="73">
        <f t="shared" si="257"/>
        <v>0</v>
      </c>
      <c r="AV342" s="73">
        <f t="shared" si="266"/>
        <v>0</v>
      </c>
      <c r="AW342" s="108">
        <v>0</v>
      </c>
      <c r="AX342" s="73">
        <f t="shared" si="529"/>
        <v>0</v>
      </c>
      <c r="AY342" s="139"/>
      <c r="AZ342" s="139"/>
      <c r="BA342" s="139"/>
      <c r="BB342" s="139"/>
      <c r="BC342" s="139"/>
      <c r="BD342" s="139"/>
      <c r="BE342" s="139"/>
      <c r="BF342" s="139"/>
      <c r="BG342" s="139"/>
      <c r="BH342" s="139"/>
      <c r="BI342" s="139"/>
      <c r="BJ342" s="139"/>
      <c r="BK342" s="139"/>
      <c r="BL342" s="139"/>
      <c r="BM342" s="139"/>
      <c r="BN342" s="139"/>
      <c r="BO342" s="139"/>
      <c r="BP342" s="139"/>
      <c r="BQ342" s="139"/>
      <c r="BR342" s="107">
        <f t="shared" si="530"/>
        <v>0</v>
      </c>
    </row>
    <row r="343" spans="2:70" ht="22.8" thickBot="1" x14ac:dyDescent="0.55000000000000004">
      <c r="B343" s="1" t="s">
        <v>403</v>
      </c>
      <c r="C343" s="2" t="s">
        <v>20</v>
      </c>
      <c r="D343" s="18">
        <v>45082</v>
      </c>
      <c r="E343" s="3">
        <v>0</v>
      </c>
      <c r="F343" s="4">
        <f t="shared" ref="F343" si="535">+E343*$C$1</f>
        <v>0</v>
      </c>
      <c r="G343" s="4">
        <f t="shared" ref="G343" si="536">+BR343</f>
        <v>0</v>
      </c>
      <c r="H343" s="42">
        <f t="shared" ref="H343" si="537">+F343+G343</f>
        <v>0</v>
      </c>
      <c r="I343" s="77">
        <v>15</v>
      </c>
      <c r="J343" s="89"/>
      <c r="K343" s="7"/>
      <c r="L343" s="41">
        <v>45813</v>
      </c>
      <c r="M343" s="37"/>
      <c r="N343" s="9" t="s">
        <v>309</v>
      </c>
      <c r="W343" s="10" t="s">
        <v>403</v>
      </c>
      <c r="X343" s="50">
        <v>0</v>
      </c>
      <c r="Y343" s="48">
        <v>0</v>
      </c>
      <c r="Z343" s="49">
        <v>0</v>
      </c>
      <c r="AA343" s="49">
        <v>0</v>
      </c>
      <c r="AB343" s="49">
        <v>0</v>
      </c>
      <c r="AC343" s="31">
        <v>0</v>
      </c>
      <c r="AD343" s="28">
        <f>+AC343-AB343</f>
        <v>0</v>
      </c>
      <c r="AE343" s="52">
        <v>0</v>
      </c>
      <c r="AF343" s="52">
        <v>0</v>
      </c>
      <c r="AG343" s="49">
        <v>0</v>
      </c>
      <c r="AH343" s="22">
        <f>+AD343+(AE343+AF343)-AG343</f>
        <v>0</v>
      </c>
      <c r="AI343" s="52">
        <v>0</v>
      </c>
      <c r="AJ343" s="52">
        <v>0</v>
      </c>
      <c r="AK343" s="49">
        <v>0</v>
      </c>
      <c r="AL343" s="31">
        <f>+AH343+AI343+AJ343-AK343</f>
        <v>0</v>
      </c>
      <c r="AM343" s="52">
        <f t="shared" si="48"/>
        <v>0</v>
      </c>
      <c r="AN343" s="52">
        <f t="shared" si="48"/>
        <v>0</v>
      </c>
      <c r="AO343" s="72">
        <v>0</v>
      </c>
      <c r="AP343" s="74">
        <f>+AL343+AM343+AN343-AO343</f>
        <v>0</v>
      </c>
      <c r="AQ343" s="76">
        <f t="shared" si="49"/>
        <v>0</v>
      </c>
      <c r="AR343" s="76">
        <f t="shared" si="49"/>
        <v>0</v>
      </c>
      <c r="AS343" s="74">
        <v>0</v>
      </c>
      <c r="AT343" s="74">
        <f>+AP343+AQ343+AR343-AS343</f>
        <v>0</v>
      </c>
      <c r="AU343" s="73">
        <f t="shared" si="44"/>
        <v>0</v>
      </c>
      <c r="AV343" s="73">
        <f t="shared" si="30"/>
        <v>0</v>
      </c>
      <c r="AW343" s="106">
        <v>0</v>
      </c>
      <c r="AX343" s="106">
        <f>+AT343+AU343+AV343-AW343</f>
        <v>0</v>
      </c>
      <c r="AY343" s="142"/>
      <c r="AZ343" s="142"/>
      <c r="BA343" s="142"/>
      <c r="BB343" s="142"/>
      <c r="BC343" s="142"/>
      <c r="BD343" s="142"/>
      <c r="BE343" s="142"/>
      <c r="BF343" s="142"/>
      <c r="BG343" s="142"/>
      <c r="BH343" s="142"/>
      <c r="BI343" s="142"/>
      <c r="BJ343" s="142"/>
      <c r="BK343" s="142"/>
      <c r="BL343" s="142"/>
      <c r="BM343" s="142"/>
      <c r="BN343" s="142"/>
      <c r="BO343" s="142"/>
      <c r="BP343" s="142"/>
      <c r="BQ343" s="142"/>
      <c r="BR343" s="107">
        <f t="shared" si="530"/>
        <v>0</v>
      </c>
    </row>
    <row r="344" spans="2:70" ht="22.8" thickBot="1" x14ac:dyDescent="0.55000000000000004">
      <c r="B344" s="1" t="s">
        <v>411</v>
      </c>
      <c r="C344" s="2" t="s">
        <v>23</v>
      </c>
      <c r="D344" s="13">
        <v>45134</v>
      </c>
      <c r="E344" s="3">
        <v>0</v>
      </c>
      <c r="F344" s="4">
        <f t="shared" ref="F344" si="538">+E344*$C$1</f>
        <v>0</v>
      </c>
      <c r="G344" s="4">
        <f t="shared" ref="G344" si="539">+BR344</f>
        <v>0</v>
      </c>
      <c r="H344" s="42">
        <f t="shared" ref="H344" si="540">+F344+G344</f>
        <v>0</v>
      </c>
      <c r="I344" s="77">
        <v>15</v>
      </c>
      <c r="J344" s="89"/>
      <c r="K344" s="7"/>
      <c r="L344" s="41">
        <v>45865</v>
      </c>
      <c r="M344" s="37"/>
      <c r="N344" s="9" t="s">
        <v>309</v>
      </c>
      <c r="W344" s="1" t="s">
        <v>411</v>
      </c>
      <c r="X344" s="50">
        <v>0</v>
      </c>
      <c r="Y344" s="49">
        <v>0</v>
      </c>
      <c r="Z344" s="49">
        <v>0</v>
      </c>
      <c r="AA344" s="49">
        <v>0</v>
      </c>
      <c r="AB344" s="49">
        <v>0</v>
      </c>
      <c r="AC344" s="31">
        <v>0</v>
      </c>
      <c r="AD344" s="28">
        <f t="shared" ref="AD344" si="541">+AC344-AB344</f>
        <v>0</v>
      </c>
      <c r="AE344" s="52">
        <v>0</v>
      </c>
      <c r="AF344" s="52">
        <v>0</v>
      </c>
      <c r="AG344" s="49">
        <v>0</v>
      </c>
      <c r="AH344" s="22">
        <f t="shared" ref="AH344" si="542">+AD344+(AE344+AF344)-AG344</f>
        <v>0</v>
      </c>
      <c r="AI344" s="52">
        <v>0</v>
      </c>
      <c r="AJ344" s="52">
        <v>0</v>
      </c>
      <c r="AK344" s="49">
        <v>0</v>
      </c>
      <c r="AL344" s="69">
        <f t="shared" ref="AL344" si="543">+AH344+AI344+AJ344-AK344</f>
        <v>0</v>
      </c>
      <c r="AM344" s="52">
        <f t="shared" si="339"/>
        <v>0</v>
      </c>
      <c r="AN344" s="52">
        <f t="shared" si="339"/>
        <v>0</v>
      </c>
      <c r="AO344" s="72">
        <v>0</v>
      </c>
      <c r="AP344" s="74">
        <f t="shared" ref="AP344" si="544">+AL344+AM344+AN344-AO344</f>
        <v>0</v>
      </c>
      <c r="AQ344" s="76">
        <f t="shared" si="340"/>
        <v>0</v>
      </c>
      <c r="AR344" s="76">
        <f t="shared" si="340"/>
        <v>0</v>
      </c>
      <c r="AS344" s="74">
        <v>0</v>
      </c>
      <c r="AT344" s="74">
        <f t="shared" ref="AT344" si="545">+AP344+AQ344+AR344-AS344</f>
        <v>0</v>
      </c>
      <c r="AU344" s="73">
        <f t="shared" si="257"/>
        <v>0</v>
      </c>
      <c r="AV344" s="73">
        <f t="shared" si="266"/>
        <v>0</v>
      </c>
      <c r="AW344" s="106">
        <v>0</v>
      </c>
      <c r="AX344" s="106">
        <f>+AT344+AU344+AV344-AW344</f>
        <v>0</v>
      </c>
      <c r="AY344" s="142"/>
      <c r="AZ344" s="142"/>
      <c r="BA344" s="142"/>
      <c r="BB344" s="142"/>
      <c r="BC344" s="142"/>
      <c r="BD344" s="142"/>
      <c r="BE344" s="142"/>
      <c r="BF344" s="142"/>
      <c r="BG344" s="142"/>
      <c r="BH344" s="142"/>
      <c r="BI344" s="142"/>
      <c r="BJ344" s="142"/>
      <c r="BK344" s="142"/>
      <c r="BL344" s="142"/>
      <c r="BM344" s="142"/>
      <c r="BN344" s="142"/>
      <c r="BO344" s="142"/>
      <c r="BP344" s="142"/>
      <c r="BQ344" s="142"/>
      <c r="BR344" s="107">
        <f t="shared" si="530"/>
        <v>0</v>
      </c>
    </row>
    <row r="345" spans="2:70" ht="22.8" thickBot="1" x14ac:dyDescent="0.55000000000000004">
      <c r="B345" s="1" t="s">
        <v>379</v>
      </c>
      <c r="C345" s="2" t="s">
        <v>20</v>
      </c>
      <c r="D345" s="13">
        <v>45163</v>
      </c>
      <c r="E345" s="3">
        <v>0</v>
      </c>
      <c r="F345" s="4">
        <f>+E345*$C$1</f>
        <v>0</v>
      </c>
      <c r="G345" s="4">
        <f t="shared" ref="G345" si="546">+BR345</f>
        <v>150</v>
      </c>
      <c r="H345" s="42">
        <f t="shared" ref="H345" si="547">+F345+G345</f>
        <v>150</v>
      </c>
      <c r="I345" s="77">
        <v>15</v>
      </c>
      <c r="J345" s="89"/>
      <c r="K345" s="7"/>
      <c r="L345" s="41">
        <v>45894</v>
      </c>
      <c r="M345" s="37"/>
      <c r="N345" s="9" t="s">
        <v>309</v>
      </c>
      <c r="W345" s="1" t="s">
        <v>379</v>
      </c>
      <c r="X345" s="50">
        <v>0</v>
      </c>
      <c r="Y345" s="48">
        <v>0</v>
      </c>
      <c r="Z345" s="49">
        <v>0</v>
      </c>
      <c r="AA345" s="49">
        <v>0</v>
      </c>
      <c r="AB345" s="49">
        <v>0</v>
      </c>
      <c r="AC345" s="31">
        <v>0</v>
      </c>
      <c r="AD345" s="28">
        <f t="shared" ref="AD345:AD350" si="548">+AC345-AB345</f>
        <v>0</v>
      </c>
      <c r="AE345" s="52">
        <v>0</v>
      </c>
      <c r="AF345" s="52">
        <v>0</v>
      </c>
      <c r="AG345" s="49">
        <v>0</v>
      </c>
      <c r="AH345" s="22">
        <f t="shared" ref="AH345:AH350" si="549">+AD345+(AE345+AF345)-AG345</f>
        <v>0</v>
      </c>
      <c r="AI345" s="52">
        <v>0</v>
      </c>
      <c r="AJ345" s="52">
        <v>0</v>
      </c>
      <c r="AK345" s="49">
        <v>0</v>
      </c>
      <c r="AL345" s="31">
        <f t="shared" ref="AL345:AL350" si="550">+AH345+AI345+AJ345-AK345</f>
        <v>0</v>
      </c>
      <c r="AM345" s="52">
        <v>0</v>
      </c>
      <c r="AN345" s="52">
        <v>0</v>
      </c>
      <c r="AO345" s="72">
        <v>0</v>
      </c>
      <c r="AP345" s="74">
        <f t="shared" ref="AP345:AP350" si="551">+AL345+AM345+AN345-AO345</f>
        <v>0</v>
      </c>
      <c r="AQ345" s="76">
        <f t="shared" si="83"/>
        <v>0</v>
      </c>
      <c r="AR345" s="76">
        <f t="shared" si="83"/>
        <v>0</v>
      </c>
      <c r="AS345" s="74">
        <v>0</v>
      </c>
      <c r="AT345" s="74">
        <f t="shared" ref="AT345:AT350" si="552">+AP345+AQ345+AR345-AS345</f>
        <v>0</v>
      </c>
      <c r="AU345" s="73">
        <f>+(0)+(0)+(0)+(174)</f>
        <v>174</v>
      </c>
      <c r="AV345" s="73">
        <f t="shared" si="110"/>
        <v>0</v>
      </c>
      <c r="AW345" s="106">
        <v>150</v>
      </c>
      <c r="AX345" s="106">
        <f>+AT345+AU345+AV345-AW345</f>
        <v>24</v>
      </c>
      <c r="AY345" s="142"/>
      <c r="AZ345" s="142"/>
      <c r="BA345" s="142"/>
      <c r="BB345" s="142"/>
      <c r="BC345" s="142"/>
      <c r="BD345" s="142"/>
      <c r="BE345" s="142"/>
      <c r="BF345" s="142"/>
      <c r="BG345" s="142"/>
      <c r="BH345" s="142"/>
      <c r="BI345" s="142"/>
      <c r="BJ345" s="142"/>
      <c r="BK345" s="142"/>
      <c r="BL345" s="142"/>
      <c r="BM345" s="142"/>
      <c r="BN345" s="142"/>
      <c r="BO345" s="142"/>
      <c r="BP345" s="142"/>
      <c r="BQ345" s="142"/>
      <c r="BR345" s="107">
        <f t="shared" si="530"/>
        <v>150</v>
      </c>
    </row>
    <row r="346" spans="2:70" ht="22.8" thickBot="1" x14ac:dyDescent="0.55000000000000004">
      <c r="B346" s="1" t="s">
        <v>418</v>
      </c>
      <c r="C346" s="2" t="s">
        <v>21</v>
      </c>
      <c r="D346" s="13">
        <v>45170</v>
      </c>
      <c r="E346" s="3">
        <v>0</v>
      </c>
      <c r="F346" s="4">
        <f t="shared" ref="F346" si="553">+E346*$C$1</f>
        <v>0</v>
      </c>
      <c r="G346" s="4">
        <f t="shared" ref="G346" si="554">+BR346</f>
        <v>0</v>
      </c>
      <c r="H346" s="42">
        <f t="shared" ref="H346" si="555">+F346+G346</f>
        <v>0</v>
      </c>
      <c r="I346" s="77">
        <v>15</v>
      </c>
      <c r="J346" s="89"/>
      <c r="K346" s="7"/>
      <c r="L346" s="41">
        <v>45901</v>
      </c>
      <c r="M346" s="37"/>
      <c r="N346" s="9" t="s">
        <v>309</v>
      </c>
      <c r="W346" s="1" t="s">
        <v>419</v>
      </c>
      <c r="X346" s="50">
        <v>0</v>
      </c>
      <c r="Y346" s="49">
        <v>0</v>
      </c>
      <c r="Z346" s="49">
        <v>0</v>
      </c>
      <c r="AA346" s="49">
        <v>0</v>
      </c>
      <c r="AB346" s="49">
        <v>0</v>
      </c>
      <c r="AC346" s="31">
        <v>0</v>
      </c>
      <c r="AD346" s="28">
        <f t="shared" si="548"/>
        <v>0</v>
      </c>
      <c r="AE346" s="52">
        <v>0</v>
      </c>
      <c r="AF346" s="52">
        <v>0</v>
      </c>
      <c r="AG346" s="49">
        <v>0</v>
      </c>
      <c r="AH346" s="22">
        <f t="shared" si="549"/>
        <v>0</v>
      </c>
      <c r="AI346" s="52">
        <v>0</v>
      </c>
      <c r="AJ346" s="52">
        <v>0</v>
      </c>
      <c r="AK346" s="49">
        <v>0</v>
      </c>
      <c r="AL346" s="69">
        <f t="shared" si="550"/>
        <v>0</v>
      </c>
      <c r="AM346" s="52">
        <v>0</v>
      </c>
      <c r="AN346" s="52">
        <v>0</v>
      </c>
      <c r="AO346" s="72">
        <v>0</v>
      </c>
      <c r="AP346" s="74">
        <f t="shared" si="551"/>
        <v>0</v>
      </c>
      <c r="AQ346" s="76">
        <v>0</v>
      </c>
      <c r="AR346" s="76">
        <v>0</v>
      </c>
      <c r="AS346" s="74">
        <v>0</v>
      </c>
      <c r="AT346" s="74">
        <f t="shared" si="552"/>
        <v>0</v>
      </c>
      <c r="AU346" s="73">
        <f t="shared" si="257"/>
        <v>0</v>
      </c>
      <c r="AV346" s="73">
        <f t="shared" si="266"/>
        <v>0</v>
      </c>
      <c r="AW346" s="106">
        <v>0</v>
      </c>
      <c r="AX346" s="106">
        <f t="shared" ref="AX346" si="556">+AT346+AU346+AV346-AW346</f>
        <v>0</v>
      </c>
      <c r="AY346" s="142"/>
      <c r="AZ346" s="142"/>
      <c r="BA346" s="142"/>
      <c r="BB346" s="142"/>
      <c r="BC346" s="142"/>
      <c r="BD346" s="142"/>
      <c r="BE346" s="142"/>
      <c r="BF346" s="142"/>
      <c r="BG346" s="142"/>
      <c r="BH346" s="142"/>
      <c r="BI346" s="142"/>
      <c r="BJ346" s="142"/>
      <c r="BK346" s="142"/>
      <c r="BL346" s="142"/>
      <c r="BM346" s="142"/>
      <c r="BN346" s="142"/>
      <c r="BO346" s="142"/>
      <c r="BP346" s="142"/>
      <c r="BQ346" s="142"/>
      <c r="BR346" s="107">
        <f t="shared" si="530"/>
        <v>0</v>
      </c>
    </row>
    <row r="347" spans="2:70" ht="22.8" thickBot="1" x14ac:dyDescent="0.55000000000000004">
      <c r="B347" s="1" t="s">
        <v>274</v>
      </c>
      <c r="C347" s="2" t="s">
        <v>21</v>
      </c>
      <c r="D347" s="18">
        <v>43689</v>
      </c>
      <c r="E347" s="3">
        <v>2</v>
      </c>
      <c r="F347" s="4">
        <f>+E347*$C$1</f>
        <v>1066.6600000000001</v>
      </c>
      <c r="G347" s="4">
        <f>+BR347</f>
        <v>354</v>
      </c>
      <c r="H347" s="42">
        <f>+F347+G347</f>
        <v>1420.66</v>
      </c>
      <c r="I347" s="77">
        <v>14</v>
      </c>
      <c r="J347" s="89"/>
      <c r="K347" s="7"/>
      <c r="L347" s="41">
        <v>45881</v>
      </c>
      <c r="M347" s="37"/>
      <c r="N347" s="9" t="s">
        <v>309</v>
      </c>
      <c r="W347" s="1" t="s">
        <v>274</v>
      </c>
      <c r="X347" s="50">
        <v>0</v>
      </c>
      <c r="Y347" s="48">
        <v>0</v>
      </c>
      <c r="Z347" s="49">
        <v>0</v>
      </c>
      <c r="AA347" s="49">
        <v>0</v>
      </c>
      <c r="AB347" s="49">
        <v>0</v>
      </c>
      <c r="AC347" s="31">
        <v>0</v>
      </c>
      <c r="AD347" s="28">
        <f t="shared" si="548"/>
        <v>0</v>
      </c>
      <c r="AE347" s="52">
        <v>0</v>
      </c>
      <c r="AF347" s="52">
        <f t="shared" si="180"/>
        <v>0</v>
      </c>
      <c r="AG347" s="49">
        <v>0</v>
      </c>
      <c r="AH347" s="22">
        <f t="shared" si="549"/>
        <v>0</v>
      </c>
      <c r="AI347" s="52">
        <f t="shared" si="47"/>
        <v>0</v>
      </c>
      <c r="AJ347" s="52">
        <f t="shared" si="47"/>
        <v>0</v>
      </c>
      <c r="AK347" s="49">
        <v>0</v>
      </c>
      <c r="AL347" s="31">
        <f t="shared" si="550"/>
        <v>0</v>
      </c>
      <c r="AM347" s="52">
        <f t="shared" si="48"/>
        <v>0</v>
      </c>
      <c r="AN347" s="52">
        <f>+(0)+(0)+(0)+(0)+(0)+(96)</f>
        <v>96</v>
      </c>
      <c r="AO347" s="72">
        <v>96</v>
      </c>
      <c r="AP347" s="74">
        <f t="shared" si="551"/>
        <v>0</v>
      </c>
      <c r="AQ347" s="76">
        <f t="shared" si="49"/>
        <v>0</v>
      </c>
      <c r="AR347" s="76">
        <f>+(0)+(108)+(0)+(0)+(0)+(0)</f>
        <v>108</v>
      </c>
      <c r="AS347" s="74">
        <v>108</v>
      </c>
      <c r="AT347" s="74">
        <f t="shared" si="552"/>
        <v>0</v>
      </c>
      <c r="AU347" s="73">
        <f>+(0)+(150)+(78)+(120)</f>
        <v>348</v>
      </c>
      <c r="AV347" s="73">
        <f t="shared" si="110"/>
        <v>0</v>
      </c>
      <c r="AW347" s="73">
        <v>150</v>
      </c>
      <c r="AX347" s="73">
        <f t="shared" ref="AX347:AX352" si="557">+AT347+AU347+AV347-AW347</f>
        <v>198</v>
      </c>
      <c r="AY347" s="139"/>
      <c r="AZ347" s="139"/>
      <c r="BA347" s="139"/>
      <c r="BB347" s="139"/>
      <c r="BC347" s="139"/>
      <c r="BD347" s="139"/>
      <c r="BE347" s="139"/>
      <c r="BF347" s="139"/>
      <c r="BG347" s="139"/>
      <c r="BH347" s="139"/>
      <c r="BI347" s="139"/>
      <c r="BJ347" s="139"/>
      <c r="BK347" s="139"/>
      <c r="BL347" s="139"/>
      <c r="BM347" s="139"/>
      <c r="BN347" s="139"/>
      <c r="BO347" s="139"/>
      <c r="BP347" s="139"/>
      <c r="BQ347" s="139"/>
      <c r="BR347" s="107">
        <f t="shared" si="530"/>
        <v>354</v>
      </c>
    </row>
    <row r="348" spans="2:70" ht="22.8" thickBot="1" x14ac:dyDescent="0.55000000000000004">
      <c r="B348" s="1" t="s">
        <v>359</v>
      </c>
      <c r="C348" s="2" t="s">
        <v>19</v>
      </c>
      <c r="D348" s="13">
        <v>44649</v>
      </c>
      <c r="E348" s="3">
        <v>1</v>
      </c>
      <c r="F348" s="4">
        <f>+E348*$C$1</f>
        <v>533.33000000000004</v>
      </c>
      <c r="G348" s="4">
        <f t="shared" ref="G348" si="558">+BR348</f>
        <v>129</v>
      </c>
      <c r="H348" s="42">
        <f t="shared" ref="H348" si="559">+F348+G348</f>
        <v>662.33</v>
      </c>
      <c r="I348" s="77">
        <v>15</v>
      </c>
      <c r="J348" s="89"/>
      <c r="K348" s="104" t="s">
        <v>307</v>
      </c>
      <c r="L348" s="41">
        <v>46110</v>
      </c>
      <c r="M348" s="37"/>
      <c r="N348" s="9" t="s">
        <v>309</v>
      </c>
      <c r="W348" s="1" t="s">
        <v>359</v>
      </c>
      <c r="X348" s="50">
        <v>0</v>
      </c>
      <c r="Y348" s="48">
        <v>0</v>
      </c>
      <c r="Z348" s="49">
        <v>0</v>
      </c>
      <c r="AA348" s="49">
        <v>0</v>
      </c>
      <c r="AB348" s="49">
        <v>0</v>
      </c>
      <c r="AC348" s="31">
        <v>0</v>
      </c>
      <c r="AD348" s="28">
        <f t="shared" si="548"/>
        <v>0</v>
      </c>
      <c r="AE348" s="52">
        <v>0</v>
      </c>
      <c r="AF348" s="52">
        <v>0</v>
      </c>
      <c r="AG348" s="49">
        <v>0</v>
      </c>
      <c r="AH348" s="22">
        <f t="shared" si="549"/>
        <v>0</v>
      </c>
      <c r="AI348" s="52">
        <v>0</v>
      </c>
      <c r="AJ348" s="52">
        <v>0</v>
      </c>
      <c r="AK348" s="49">
        <v>0</v>
      </c>
      <c r="AL348" s="31">
        <f t="shared" si="550"/>
        <v>0</v>
      </c>
      <c r="AM348" s="52">
        <f t="shared" si="82"/>
        <v>0</v>
      </c>
      <c r="AN348" s="52">
        <f t="shared" si="82"/>
        <v>0</v>
      </c>
      <c r="AO348" s="72">
        <v>0</v>
      </c>
      <c r="AP348" s="74">
        <f t="shared" si="551"/>
        <v>0</v>
      </c>
      <c r="AQ348" s="76">
        <f t="shared" si="83"/>
        <v>0</v>
      </c>
      <c r="AR348" s="76">
        <f>+(0)+(51)+(0)+(0)+(0)+(0)</f>
        <v>51</v>
      </c>
      <c r="AS348" s="74">
        <v>51</v>
      </c>
      <c r="AT348" s="74">
        <f t="shared" si="552"/>
        <v>0</v>
      </c>
      <c r="AU348" s="73">
        <f>+(0)+(0)+(0)+(78)</f>
        <v>78</v>
      </c>
      <c r="AV348" s="73">
        <f t="shared" si="110"/>
        <v>0</v>
      </c>
      <c r="AW348" s="73">
        <v>78</v>
      </c>
      <c r="AX348" s="73">
        <f t="shared" si="557"/>
        <v>0</v>
      </c>
      <c r="AY348" s="139"/>
      <c r="AZ348" s="139"/>
      <c r="BA348" s="139"/>
      <c r="BB348" s="139"/>
      <c r="BC348" s="139"/>
      <c r="BD348" s="139"/>
      <c r="BE348" s="139"/>
      <c r="BF348" s="139"/>
      <c r="BG348" s="139"/>
      <c r="BH348" s="139"/>
      <c r="BI348" s="139"/>
      <c r="BJ348" s="139"/>
      <c r="BK348" s="139"/>
      <c r="BL348" s="139"/>
      <c r="BM348" s="139"/>
      <c r="BN348" s="139"/>
      <c r="BO348" s="139"/>
      <c r="BP348" s="139"/>
      <c r="BQ348" s="139"/>
      <c r="BR348" s="107">
        <f t="shared" si="530"/>
        <v>129</v>
      </c>
    </row>
    <row r="349" spans="2:70" ht="22.8" thickBot="1" x14ac:dyDescent="0.55000000000000004">
      <c r="B349" s="1" t="s">
        <v>78</v>
      </c>
      <c r="C349" s="2" t="s">
        <v>19</v>
      </c>
      <c r="D349" s="1" t="s">
        <v>141</v>
      </c>
      <c r="E349" s="3">
        <v>5</v>
      </c>
      <c r="F349" s="4">
        <f>+E349*$C$1</f>
        <v>2666.65</v>
      </c>
      <c r="G349" s="4">
        <f>+BR349</f>
        <v>894.6</v>
      </c>
      <c r="H349" s="42">
        <f>+F349+G349</f>
        <v>3561.25</v>
      </c>
      <c r="I349" s="77">
        <v>11</v>
      </c>
      <c r="J349" s="89"/>
      <c r="K349" s="7"/>
      <c r="L349" s="39">
        <v>45391</v>
      </c>
      <c r="M349" s="37"/>
      <c r="N349" s="9" t="s">
        <v>309</v>
      </c>
      <c r="W349" s="10" t="s">
        <v>78</v>
      </c>
      <c r="X349" s="50">
        <v>420</v>
      </c>
      <c r="Y349" s="48">
        <v>96</v>
      </c>
      <c r="Z349" s="49">
        <v>96</v>
      </c>
      <c r="AA349" s="49">
        <v>96</v>
      </c>
      <c r="AB349" s="49">
        <v>120</v>
      </c>
      <c r="AC349" s="31">
        <v>132.6</v>
      </c>
      <c r="AD349" s="28">
        <f t="shared" si="548"/>
        <v>12.599999999999994</v>
      </c>
      <c r="AE349" s="52">
        <v>54</v>
      </c>
      <c r="AF349" s="52">
        <f t="shared" si="240"/>
        <v>0</v>
      </c>
      <c r="AG349" s="49">
        <v>66.599999999999994</v>
      </c>
      <c r="AH349" s="22">
        <f t="shared" si="549"/>
        <v>0</v>
      </c>
      <c r="AI349" s="52">
        <f t="shared" si="81"/>
        <v>0</v>
      </c>
      <c r="AJ349" s="52">
        <f t="shared" si="81"/>
        <v>0</v>
      </c>
      <c r="AK349" s="49">
        <v>0</v>
      </c>
      <c r="AL349" s="69">
        <f t="shared" si="550"/>
        <v>0</v>
      </c>
      <c r="AM349" s="52">
        <f t="shared" si="82"/>
        <v>0</v>
      </c>
      <c r="AN349" s="52">
        <f t="shared" si="82"/>
        <v>0</v>
      </c>
      <c r="AO349" s="72">
        <v>0</v>
      </c>
      <c r="AP349" s="74">
        <f t="shared" si="551"/>
        <v>0</v>
      </c>
      <c r="AQ349" s="76">
        <f t="shared" si="83"/>
        <v>0</v>
      </c>
      <c r="AR349" s="76">
        <f t="shared" si="83"/>
        <v>0</v>
      </c>
      <c r="AS349" s="74">
        <v>0</v>
      </c>
      <c r="AT349" s="74">
        <f t="shared" si="552"/>
        <v>0</v>
      </c>
      <c r="AU349" s="73">
        <f t="shared" si="104"/>
        <v>0</v>
      </c>
      <c r="AV349" s="73">
        <f t="shared" si="110"/>
        <v>0</v>
      </c>
      <c r="AW349" s="73">
        <v>0</v>
      </c>
      <c r="AX349" s="73">
        <f t="shared" si="557"/>
        <v>0</v>
      </c>
      <c r="AY349" s="139"/>
      <c r="AZ349" s="139"/>
      <c r="BA349" s="139"/>
      <c r="BB349" s="139"/>
      <c r="BC349" s="139"/>
      <c r="BD349" s="139"/>
      <c r="BE349" s="139"/>
      <c r="BF349" s="139"/>
      <c r="BG349" s="139"/>
      <c r="BH349" s="139"/>
      <c r="BI349" s="139"/>
      <c r="BJ349" s="139"/>
      <c r="BK349" s="139"/>
      <c r="BL349" s="139"/>
      <c r="BM349" s="139"/>
      <c r="BN349" s="139"/>
      <c r="BO349" s="139"/>
      <c r="BP349" s="139"/>
      <c r="BQ349" s="139"/>
      <c r="BR349" s="107">
        <f t="shared" si="530"/>
        <v>894.6</v>
      </c>
    </row>
    <row r="350" spans="2:70" ht="22.8" thickBot="1" x14ac:dyDescent="0.55000000000000004">
      <c r="B350" s="1" t="s">
        <v>288</v>
      </c>
      <c r="C350" s="2" t="s">
        <v>21</v>
      </c>
      <c r="D350" s="13">
        <v>44562</v>
      </c>
      <c r="E350" s="3">
        <v>1</v>
      </c>
      <c r="F350" s="4">
        <f>+E350*$C$1</f>
        <v>533.33000000000004</v>
      </c>
      <c r="G350" s="4">
        <f>+BR350</f>
        <v>709.2</v>
      </c>
      <c r="H350" s="42">
        <f>+F350+G350</f>
        <v>1242.5300000000002</v>
      </c>
      <c r="I350" s="77">
        <v>14</v>
      </c>
      <c r="J350" s="89"/>
      <c r="K350" s="7"/>
      <c r="L350" s="41">
        <v>45815</v>
      </c>
      <c r="M350" s="37"/>
      <c r="N350" s="9" t="s">
        <v>309</v>
      </c>
      <c r="W350" s="1" t="s">
        <v>288</v>
      </c>
      <c r="X350" s="68">
        <v>409.2</v>
      </c>
      <c r="Y350" s="48">
        <v>0</v>
      </c>
      <c r="Z350" s="49">
        <v>0</v>
      </c>
      <c r="AA350" s="49">
        <v>0</v>
      </c>
      <c r="AB350" s="49">
        <v>0</v>
      </c>
      <c r="AC350" s="31">
        <v>0</v>
      </c>
      <c r="AD350" s="28">
        <f t="shared" si="548"/>
        <v>0</v>
      </c>
      <c r="AE350" s="52">
        <v>0</v>
      </c>
      <c r="AF350" s="52">
        <v>0</v>
      </c>
      <c r="AG350" s="49">
        <v>0</v>
      </c>
      <c r="AH350" s="22">
        <f t="shared" si="549"/>
        <v>0</v>
      </c>
      <c r="AI350" s="52">
        <v>0</v>
      </c>
      <c r="AJ350" s="52">
        <v>0</v>
      </c>
      <c r="AK350" s="49">
        <v>0</v>
      </c>
      <c r="AL350" s="31">
        <f t="shared" si="550"/>
        <v>0</v>
      </c>
      <c r="AM350" s="52">
        <f t="shared" si="82"/>
        <v>0</v>
      </c>
      <c r="AN350" s="52">
        <f t="shared" si="82"/>
        <v>0</v>
      </c>
      <c r="AO350" s="72">
        <v>0</v>
      </c>
      <c r="AP350" s="74">
        <f t="shared" si="551"/>
        <v>0</v>
      </c>
      <c r="AQ350" s="76">
        <f t="shared" si="83"/>
        <v>0</v>
      </c>
      <c r="AR350" s="76">
        <f>+(0)+(264)+(0)+(0)+(0)+(0)</f>
        <v>264</v>
      </c>
      <c r="AS350" s="74">
        <v>150</v>
      </c>
      <c r="AT350" s="74">
        <f t="shared" si="552"/>
        <v>114</v>
      </c>
      <c r="AU350" s="73">
        <f>+(0)+(0)+(228)+(0)</f>
        <v>228</v>
      </c>
      <c r="AV350" s="73">
        <f t="shared" si="266"/>
        <v>0</v>
      </c>
      <c r="AW350" s="73">
        <v>150</v>
      </c>
      <c r="AX350" s="73">
        <f t="shared" si="557"/>
        <v>192</v>
      </c>
      <c r="AY350" s="139"/>
      <c r="AZ350" s="139"/>
      <c r="BA350" s="139"/>
      <c r="BB350" s="139"/>
      <c r="BC350" s="139"/>
      <c r="BD350" s="139"/>
      <c r="BE350" s="139"/>
      <c r="BF350" s="139"/>
      <c r="BG350" s="139"/>
      <c r="BH350" s="139"/>
      <c r="BI350" s="139"/>
      <c r="BJ350" s="139"/>
      <c r="BK350" s="139"/>
      <c r="BL350" s="139"/>
      <c r="BM350" s="139"/>
      <c r="BN350" s="139"/>
      <c r="BO350" s="139"/>
      <c r="BP350" s="139"/>
      <c r="BQ350" s="139"/>
      <c r="BR350" s="107">
        <f t="shared" si="530"/>
        <v>709.2</v>
      </c>
    </row>
    <row r="351" spans="2:70" ht="22.8" thickBot="1" x14ac:dyDescent="0.55000000000000004">
      <c r="B351" s="1" t="s">
        <v>432</v>
      </c>
      <c r="C351" s="2" t="s">
        <v>23</v>
      </c>
      <c r="D351" s="13">
        <v>45313</v>
      </c>
      <c r="E351" s="3">
        <v>0</v>
      </c>
      <c r="F351" s="4">
        <f t="shared" ref="F351" si="560">+E351*$C$1</f>
        <v>0</v>
      </c>
      <c r="G351" s="4">
        <f t="shared" ref="G351" si="561">+BR351</f>
        <v>0</v>
      </c>
      <c r="H351" s="42">
        <f t="shared" ref="H351" si="562">+F351+G351</f>
        <v>0</v>
      </c>
      <c r="I351" s="77">
        <v>15</v>
      </c>
      <c r="J351" s="89"/>
      <c r="K351" s="7"/>
      <c r="L351" s="41">
        <v>46044</v>
      </c>
      <c r="M351" s="37"/>
      <c r="N351" s="9" t="s">
        <v>309</v>
      </c>
      <c r="W351" s="1" t="s">
        <v>432</v>
      </c>
      <c r="X351" s="50">
        <v>0</v>
      </c>
      <c r="Y351" s="48">
        <v>0</v>
      </c>
      <c r="Z351" s="49">
        <v>0</v>
      </c>
      <c r="AA351" s="49">
        <v>0</v>
      </c>
      <c r="AB351" s="49">
        <v>0</v>
      </c>
      <c r="AC351" s="31">
        <v>0</v>
      </c>
      <c r="AD351" s="28">
        <f t="shared" ref="AD351:AD356" si="563">+AC351-AB351</f>
        <v>0</v>
      </c>
      <c r="AE351" s="52">
        <v>0</v>
      </c>
      <c r="AF351" s="52">
        <v>0</v>
      </c>
      <c r="AG351" s="49">
        <v>0</v>
      </c>
      <c r="AH351" s="22">
        <f t="shared" ref="AH351:AH356" si="564">+AD351+(AE351+AF351)-AG351</f>
        <v>0</v>
      </c>
      <c r="AI351" s="52">
        <v>0</v>
      </c>
      <c r="AJ351" s="52">
        <v>0</v>
      </c>
      <c r="AK351" s="49">
        <v>0</v>
      </c>
      <c r="AL351" s="31">
        <f t="shared" ref="AL351:AL356" si="565">+AH351+AI351+AJ351-AK351</f>
        <v>0</v>
      </c>
      <c r="AM351" s="52">
        <v>0</v>
      </c>
      <c r="AN351" s="52">
        <v>0</v>
      </c>
      <c r="AO351" s="72">
        <v>0</v>
      </c>
      <c r="AP351" s="74">
        <f t="shared" ref="AP351:AP356" si="566">+AL351+AM351+AN351-AO351</f>
        <v>0</v>
      </c>
      <c r="AQ351" s="76">
        <v>0</v>
      </c>
      <c r="AR351" s="76">
        <v>0</v>
      </c>
      <c r="AS351" s="74">
        <v>0</v>
      </c>
      <c r="AT351" s="74">
        <f t="shared" ref="AT351:AT356" si="567">+AP351+AQ351+AR351-AS351</f>
        <v>0</v>
      </c>
      <c r="AU351" s="73">
        <f t="shared" si="104"/>
        <v>0</v>
      </c>
      <c r="AV351" s="73">
        <f t="shared" si="110"/>
        <v>0</v>
      </c>
      <c r="AW351" s="73">
        <v>0</v>
      </c>
      <c r="AX351" s="73">
        <f t="shared" si="557"/>
        <v>0</v>
      </c>
      <c r="AY351" s="139"/>
      <c r="AZ351" s="139"/>
      <c r="BA351" s="139"/>
      <c r="BB351" s="139"/>
      <c r="BC351" s="139"/>
      <c r="BD351" s="139"/>
      <c r="BE351" s="139"/>
      <c r="BF351" s="139"/>
      <c r="BG351" s="139"/>
      <c r="BH351" s="139"/>
      <c r="BI351" s="139"/>
      <c r="BJ351" s="139"/>
      <c r="BK351" s="139"/>
      <c r="BL351" s="139"/>
      <c r="BM351" s="139"/>
      <c r="BN351" s="139"/>
      <c r="BO351" s="139"/>
      <c r="BP351" s="139"/>
      <c r="BQ351" s="139"/>
      <c r="BR351" s="107">
        <f t="shared" si="530"/>
        <v>0</v>
      </c>
    </row>
    <row r="352" spans="2:70" ht="22.8" thickBot="1" x14ac:dyDescent="0.55000000000000004">
      <c r="B352" s="1" t="s">
        <v>434</v>
      </c>
      <c r="C352" s="2" t="s">
        <v>19</v>
      </c>
      <c r="D352" s="13">
        <v>45306</v>
      </c>
      <c r="E352" s="4">
        <v>0</v>
      </c>
      <c r="F352" s="4">
        <f t="shared" ref="F352:F357" si="568">+E352*$C$1</f>
        <v>0</v>
      </c>
      <c r="G352" s="4">
        <f>+BR352</f>
        <v>0</v>
      </c>
      <c r="H352" s="42">
        <f>+F352+G352</f>
        <v>0</v>
      </c>
      <c r="I352" s="77">
        <v>15</v>
      </c>
      <c r="J352" s="89"/>
      <c r="K352" s="7"/>
      <c r="L352" s="39">
        <v>46037</v>
      </c>
      <c r="M352" s="37"/>
      <c r="N352" s="9" t="s">
        <v>309</v>
      </c>
      <c r="W352" s="1" t="s">
        <v>434</v>
      </c>
      <c r="X352" s="51">
        <v>0</v>
      </c>
      <c r="Y352" s="48">
        <v>0</v>
      </c>
      <c r="Z352" s="49">
        <v>0</v>
      </c>
      <c r="AA352" s="49">
        <v>0</v>
      </c>
      <c r="AB352" s="49">
        <v>0</v>
      </c>
      <c r="AC352" s="31">
        <v>0</v>
      </c>
      <c r="AD352" s="28">
        <f t="shared" si="563"/>
        <v>0</v>
      </c>
      <c r="AE352" s="52">
        <v>0</v>
      </c>
      <c r="AF352" s="52">
        <v>0</v>
      </c>
      <c r="AG352" s="49">
        <v>0</v>
      </c>
      <c r="AH352" s="22">
        <f t="shared" si="564"/>
        <v>0</v>
      </c>
      <c r="AI352" s="52">
        <v>0</v>
      </c>
      <c r="AJ352" s="52">
        <v>0</v>
      </c>
      <c r="AK352" s="49">
        <v>0</v>
      </c>
      <c r="AL352" s="31">
        <f t="shared" si="565"/>
        <v>0</v>
      </c>
      <c r="AM352" s="52">
        <v>0</v>
      </c>
      <c r="AN352" s="52">
        <v>0</v>
      </c>
      <c r="AO352" s="72">
        <v>0</v>
      </c>
      <c r="AP352" s="74">
        <f t="shared" si="566"/>
        <v>0</v>
      </c>
      <c r="AQ352" s="76">
        <v>0</v>
      </c>
      <c r="AR352" s="76">
        <v>0</v>
      </c>
      <c r="AS352" s="74">
        <v>0</v>
      </c>
      <c r="AT352" s="74">
        <f t="shared" si="567"/>
        <v>0</v>
      </c>
      <c r="AU352" s="73">
        <f t="shared" si="104"/>
        <v>0</v>
      </c>
      <c r="AV352" s="73">
        <f t="shared" si="110"/>
        <v>0</v>
      </c>
      <c r="AW352" s="73">
        <v>0</v>
      </c>
      <c r="AX352" s="73">
        <f t="shared" si="557"/>
        <v>0</v>
      </c>
      <c r="AY352" s="139"/>
      <c r="AZ352" s="139"/>
      <c r="BA352" s="139"/>
      <c r="BB352" s="139"/>
      <c r="BC352" s="139"/>
      <c r="BD352" s="139"/>
      <c r="BE352" s="139"/>
      <c r="BF352" s="139"/>
      <c r="BG352" s="139"/>
      <c r="BH352" s="139"/>
      <c r="BI352" s="139"/>
      <c r="BJ352" s="139"/>
      <c r="BK352" s="139"/>
      <c r="BL352" s="139"/>
      <c r="BM352" s="139"/>
      <c r="BN352" s="139"/>
      <c r="BO352" s="139"/>
      <c r="BP352" s="139"/>
      <c r="BQ352" s="139"/>
      <c r="BR352" s="107">
        <f t="shared" si="530"/>
        <v>0</v>
      </c>
    </row>
    <row r="353" spans="2:70" ht="22.8" thickBot="1" x14ac:dyDescent="0.55000000000000004">
      <c r="B353" s="1" t="s">
        <v>436</v>
      </c>
      <c r="C353" s="2" t="s">
        <v>21</v>
      </c>
      <c r="D353" s="13">
        <v>45327</v>
      </c>
      <c r="E353" s="3">
        <v>0</v>
      </c>
      <c r="F353" s="4">
        <f t="shared" si="568"/>
        <v>0</v>
      </c>
      <c r="G353" s="4">
        <f t="shared" ref="G353" si="569">+BR353</f>
        <v>0</v>
      </c>
      <c r="H353" s="42">
        <f t="shared" ref="H353" si="570">+F353+G353</f>
        <v>0</v>
      </c>
      <c r="I353" s="77">
        <v>15</v>
      </c>
      <c r="J353" s="89"/>
      <c r="K353" s="7"/>
      <c r="L353" s="41">
        <v>46058</v>
      </c>
      <c r="M353" s="37"/>
      <c r="N353" s="9" t="s">
        <v>309</v>
      </c>
      <c r="W353" s="1" t="s">
        <v>436</v>
      </c>
      <c r="X353" s="50">
        <v>0</v>
      </c>
      <c r="Y353" s="48">
        <v>0</v>
      </c>
      <c r="Z353" s="49">
        <v>0</v>
      </c>
      <c r="AA353" s="49">
        <v>0</v>
      </c>
      <c r="AB353" s="49">
        <v>0</v>
      </c>
      <c r="AC353" s="31">
        <v>0</v>
      </c>
      <c r="AD353" s="28">
        <f t="shared" si="563"/>
        <v>0</v>
      </c>
      <c r="AE353" s="52">
        <v>0</v>
      </c>
      <c r="AF353" s="52">
        <v>0</v>
      </c>
      <c r="AG353" s="49">
        <v>0</v>
      </c>
      <c r="AH353" s="22">
        <f t="shared" si="564"/>
        <v>0</v>
      </c>
      <c r="AI353" s="52">
        <v>0</v>
      </c>
      <c r="AJ353" s="52">
        <v>0</v>
      </c>
      <c r="AK353" s="49">
        <v>0</v>
      </c>
      <c r="AL353" s="69">
        <f t="shared" si="565"/>
        <v>0</v>
      </c>
      <c r="AM353" s="52">
        <v>0</v>
      </c>
      <c r="AN353" s="52">
        <v>0</v>
      </c>
      <c r="AO353" s="72">
        <v>0</v>
      </c>
      <c r="AP353" s="74">
        <f t="shared" si="566"/>
        <v>0</v>
      </c>
      <c r="AQ353" s="76">
        <v>0</v>
      </c>
      <c r="AR353" s="76">
        <v>0</v>
      </c>
      <c r="AS353" s="74">
        <v>0</v>
      </c>
      <c r="AT353" s="74">
        <f t="shared" si="567"/>
        <v>0</v>
      </c>
      <c r="AU353" s="73">
        <f t="shared" si="257"/>
        <v>0</v>
      </c>
      <c r="AV353" s="73">
        <f t="shared" si="266"/>
        <v>0</v>
      </c>
      <c r="AW353" s="73">
        <v>0</v>
      </c>
      <c r="AX353" s="73">
        <f>+AT353+AU353+AV353-AW353</f>
        <v>0</v>
      </c>
      <c r="AY353" s="139"/>
      <c r="AZ353" s="139"/>
      <c r="BA353" s="139"/>
      <c r="BB353" s="139"/>
      <c r="BC353" s="139"/>
      <c r="BD353" s="139"/>
      <c r="BE353" s="139"/>
      <c r="BF353" s="139"/>
      <c r="BG353" s="139"/>
      <c r="BH353" s="139"/>
      <c r="BI353" s="139"/>
      <c r="BJ353" s="139"/>
      <c r="BK353" s="139"/>
      <c r="BL353" s="139"/>
      <c r="BM353" s="139"/>
      <c r="BN353" s="139"/>
      <c r="BO353" s="139"/>
      <c r="BP353" s="139"/>
      <c r="BQ353" s="139"/>
      <c r="BR353" s="107">
        <f t="shared" si="530"/>
        <v>0</v>
      </c>
    </row>
    <row r="354" spans="2:70" ht="22.8" thickBot="1" x14ac:dyDescent="0.55000000000000004">
      <c r="B354" s="1" t="s">
        <v>437</v>
      </c>
      <c r="C354" s="2" t="s">
        <v>21</v>
      </c>
      <c r="D354" s="13">
        <v>45322</v>
      </c>
      <c r="E354" s="4">
        <v>0</v>
      </c>
      <c r="F354" s="4">
        <f t="shared" si="568"/>
        <v>0</v>
      </c>
      <c r="G354" s="4">
        <f t="shared" ref="G354" si="571">+BR354</f>
        <v>0</v>
      </c>
      <c r="H354" s="42">
        <f t="shared" ref="H354" si="572">+F354+G354</f>
        <v>0</v>
      </c>
      <c r="I354" s="77">
        <v>15</v>
      </c>
      <c r="J354" s="105"/>
      <c r="K354" s="7"/>
      <c r="L354" s="39">
        <v>46053</v>
      </c>
      <c r="M354" s="37"/>
      <c r="N354" s="9" t="s">
        <v>309</v>
      </c>
      <c r="W354" s="1" t="s">
        <v>437</v>
      </c>
      <c r="X354" s="51">
        <v>0</v>
      </c>
      <c r="Y354" s="48">
        <v>0</v>
      </c>
      <c r="Z354" s="49">
        <v>0</v>
      </c>
      <c r="AA354" s="49">
        <v>0</v>
      </c>
      <c r="AB354" s="49">
        <v>0</v>
      </c>
      <c r="AC354" s="31">
        <v>0</v>
      </c>
      <c r="AD354" s="28">
        <f t="shared" si="563"/>
        <v>0</v>
      </c>
      <c r="AE354" s="52">
        <v>0</v>
      </c>
      <c r="AF354" s="52">
        <v>0</v>
      </c>
      <c r="AG354" s="49">
        <v>0</v>
      </c>
      <c r="AH354" s="22">
        <f t="shared" si="564"/>
        <v>0</v>
      </c>
      <c r="AI354" s="52">
        <v>0</v>
      </c>
      <c r="AJ354" s="52">
        <v>0</v>
      </c>
      <c r="AK354" s="49">
        <v>0</v>
      </c>
      <c r="AL354" s="31">
        <f t="shared" si="565"/>
        <v>0</v>
      </c>
      <c r="AM354" s="52">
        <v>0</v>
      </c>
      <c r="AN354" s="52">
        <v>0</v>
      </c>
      <c r="AO354" s="72">
        <v>0</v>
      </c>
      <c r="AP354" s="74">
        <f t="shared" si="566"/>
        <v>0</v>
      </c>
      <c r="AQ354" s="76">
        <v>0</v>
      </c>
      <c r="AR354" s="76">
        <v>0</v>
      </c>
      <c r="AS354" s="74">
        <v>0</v>
      </c>
      <c r="AT354" s="74">
        <f t="shared" si="567"/>
        <v>0</v>
      </c>
      <c r="AU354" s="73">
        <f t="shared" si="257"/>
        <v>0</v>
      </c>
      <c r="AV354" s="73">
        <f t="shared" si="266"/>
        <v>0</v>
      </c>
      <c r="AW354" s="73">
        <v>0</v>
      </c>
      <c r="AX354" s="73">
        <f>+AT354+AU354+AV354-AW354</f>
        <v>0</v>
      </c>
      <c r="AY354" s="139"/>
      <c r="AZ354" s="139"/>
      <c r="BA354" s="139"/>
      <c r="BB354" s="139"/>
      <c r="BC354" s="139"/>
      <c r="BD354" s="139"/>
      <c r="BE354" s="139"/>
      <c r="BF354" s="139"/>
      <c r="BG354" s="139"/>
      <c r="BH354" s="139"/>
      <c r="BI354" s="139"/>
      <c r="BJ354" s="139"/>
      <c r="BK354" s="139"/>
      <c r="BL354" s="139"/>
      <c r="BM354" s="139"/>
      <c r="BN354" s="139"/>
      <c r="BO354" s="139"/>
      <c r="BP354" s="139"/>
      <c r="BQ354" s="139"/>
      <c r="BR354" s="107">
        <f t="shared" si="530"/>
        <v>0</v>
      </c>
    </row>
    <row r="355" spans="2:70" ht="22.8" thickBot="1" x14ac:dyDescent="0.55000000000000004">
      <c r="B355" s="1" t="s">
        <v>38</v>
      </c>
      <c r="C355" s="2" t="s">
        <v>21</v>
      </c>
      <c r="D355" s="1" t="s">
        <v>122</v>
      </c>
      <c r="E355" s="3">
        <v>11</v>
      </c>
      <c r="F355" s="4">
        <f t="shared" si="568"/>
        <v>5866.63</v>
      </c>
      <c r="G355" s="4">
        <f>+BR355</f>
        <v>2116</v>
      </c>
      <c r="H355" s="42">
        <f>+F355+G355</f>
        <v>7982.63</v>
      </c>
      <c r="I355" s="77">
        <v>6</v>
      </c>
      <c r="J355" s="89"/>
      <c r="K355" s="7"/>
      <c r="L355" s="39">
        <v>45536</v>
      </c>
      <c r="M355" s="37"/>
      <c r="N355" s="9" t="s">
        <v>309</v>
      </c>
      <c r="W355" s="1" t="s">
        <v>38</v>
      </c>
      <c r="X355" s="50">
        <v>1750</v>
      </c>
      <c r="Y355" s="48">
        <v>96</v>
      </c>
      <c r="Z355" s="49">
        <v>96</v>
      </c>
      <c r="AA355" s="49">
        <v>96</v>
      </c>
      <c r="AB355" s="49">
        <v>0</v>
      </c>
      <c r="AC355" s="31">
        <v>0</v>
      </c>
      <c r="AD355" s="28">
        <f t="shared" si="563"/>
        <v>0</v>
      </c>
      <c r="AE355" s="52">
        <v>0</v>
      </c>
      <c r="AF355" s="52">
        <f t="shared" si="29"/>
        <v>0</v>
      </c>
      <c r="AG355" s="49">
        <v>0</v>
      </c>
      <c r="AH355" s="22">
        <f t="shared" si="564"/>
        <v>0</v>
      </c>
      <c r="AI355" s="52">
        <f t="shared" si="47"/>
        <v>0</v>
      </c>
      <c r="AJ355" s="52">
        <f>+(78)+(0)+(0)+(0)+(0)+(0)</f>
        <v>78</v>
      </c>
      <c r="AK355" s="49">
        <v>78</v>
      </c>
      <c r="AL355" s="31">
        <f t="shared" si="565"/>
        <v>0</v>
      </c>
      <c r="AM355" s="52">
        <f t="shared" si="48"/>
        <v>0</v>
      </c>
      <c r="AN355" s="52">
        <f t="shared" si="48"/>
        <v>0</v>
      </c>
      <c r="AO355" s="72">
        <v>0</v>
      </c>
      <c r="AP355" s="74">
        <f t="shared" si="566"/>
        <v>0</v>
      </c>
      <c r="AQ355" s="76">
        <f t="shared" si="49"/>
        <v>0</v>
      </c>
      <c r="AR355" s="76">
        <f t="shared" si="49"/>
        <v>0</v>
      </c>
      <c r="AS355" s="74">
        <v>0</v>
      </c>
      <c r="AT355" s="74">
        <f t="shared" si="567"/>
        <v>0</v>
      </c>
      <c r="AU355" s="73">
        <f t="shared" si="44"/>
        <v>0</v>
      </c>
      <c r="AV355" s="73">
        <f t="shared" si="30"/>
        <v>0</v>
      </c>
      <c r="AW355" s="73">
        <v>0</v>
      </c>
      <c r="AX355" s="73">
        <f>+AT355+AU355+AV355-AW355</f>
        <v>0</v>
      </c>
      <c r="AY355" s="139"/>
      <c r="AZ355" s="139"/>
      <c r="BA355" s="139"/>
      <c r="BB355" s="139"/>
      <c r="BC355" s="139"/>
      <c r="BD355" s="139"/>
      <c r="BE355" s="139"/>
      <c r="BF355" s="139"/>
      <c r="BG355" s="139"/>
      <c r="BH355" s="139"/>
      <c r="BI355" s="139"/>
      <c r="BJ355" s="139"/>
      <c r="BK355" s="139"/>
      <c r="BL355" s="139"/>
      <c r="BM355" s="139"/>
      <c r="BN355" s="139"/>
      <c r="BO355" s="139"/>
      <c r="BP355" s="139"/>
      <c r="BQ355" s="139"/>
      <c r="BR355" s="107">
        <f t="shared" si="530"/>
        <v>2116</v>
      </c>
    </row>
    <row r="356" spans="2:70" ht="22.8" thickBot="1" x14ac:dyDescent="0.55000000000000004">
      <c r="B356" s="1" t="s">
        <v>73</v>
      </c>
      <c r="C356" s="2" t="s">
        <v>23</v>
      </c>
      <c r="D356" s="1" t="s">
        <v>111</v>
      </c>
      <c r="E356" s="3">
        <v>15</v>
      </c>
      <c r="F356" s="4">
        <f t="shared" si="568"/>
        <v>7999.9500000000007</v>
      </c>
      <c r="G356" s="4">
        <f>+BR356</f>
        <v>3010</v>
      </c>
      <c r="H356" s="42">
        <f>+F356+G356</f>
        <v>11009.95</v>
      </c>
      <c r="I356" s="77">
        <v>1</v>
      </c>
      <c r="J356" s="89"/>
      <c r="K356" s="7"/>
      <c r="L356" s="135"/>
      <c r="M356" s="37"/>
      <c r="N356" s="9" t="s">
        <v>309</v>
      </c>
      <c r="W356" s="1" t="s">
        <v>73</v>
      </c>
      <c r="X356" s="50">
        <v>2560</v>
      </c>
      <c r="Y356" s="48">
        <v>96</v>
      </c>
      <c r="Z356" s="49">
        <v>96</v>
      </c>
      <c r="AA356" s="49">
        <v>96</v>
      </c>
      <c r="AB356" s="49">
        <v>0</v>
      </c>
      <c r="AC356" s="31">
        <v>0</v>
      </c>
      <c r="AD356" s="28">
        <f t="shared" si="563"/>
        <v>0</v>
      </c>
      <c r="AE356" s="52">
        <v>0</v>
      </c>
      <c r="AF356" s="52">
        <f t="shared" si="180"/>
        <v>0</v>
      </c>
      <c r="AG356" s="49">
        <v>0</v>
      </c>
      <c r="AH356" s="22">
        <f t="shared" si="564"/>
        <v>0</v>
      </c>
      <c r="AI356" s="52">
        <f t="shared" si="81"/>
        <v>0</v>
      </c>
      <c r="AJ356" s="52">
        <f t="shared" si="81"/>
        <v>0</v>
      </c>
      <c r="AK356" s="49">
        <v>0</v>
      </c>
      <c r="AL356" s="31">
        <f t="shared" si="565"/>
        <v>0</v>
      </c>
      <c r="AM356" s="52">
        <f t="shared" si="82"/>
        <v>0</v>
      </c>
      <c r="AN356" s="52">
        <f>+(0)+(0)+(0)+(0)+(0)+(108)</f>
        <v>108</v>
      </c>
      <c r="AO356" s="72">
        <v>108</v>
      </c>
      <c r="AP356" s="74">
        <f t="shared" si="566"/>
        <v>0</v>
      </c>
      <c r="AQ356" s="76">
        <f>+(0)+(0)+(0)+(0)+(54)+(0)</f>
        <v>54</v>
      </c>
      <c r="AR356" s="76">
        <f t="shared" si="83"/>
        <v>0</v>
      </c>
      <c r="AS356" s="74">
        <v>54</v>
      </c>
      <c r="AT356" s="74">
        <f t="shared" si="567"/>
        <v>0</v>
      </c>
      <c r="AU356" s="73">
        <f t="shared" si="104"/>
        <v>0</v>
      </c>
      <c r="AV356" s="73">
        <f t="shared" si="110"/>
        <v>0</v>
      </c>
      <c r="AW356" s="73">
        <v>0</v>
      </c>
      <c r="AX356" s="73">
        <f>+AT356+AU356+AV356-AW356</f>
        <v>0</v>
      </c>
      <c r="AY356" s="139"/>
      <c r="AZ356" s="139"/>
      <c r="BA356" s="139"/>
      <c r="BB356" s="139"/>
      <c r="BC356" s="139"/>
      <c r="BD356" s="139"/>
      <c r="BE356" s="139"/>
      <c r="BF356" s="139"/>
      <c r="BG356" s="139"/>
      <c r="BH356" s="139"/>
      <c r="BI356" s="139"/>
      <c r="BJ356" s="139"/>
      <c r="BK356" s="139"/>
      <c r="BL356" s="139"/>
      <c r="BM356" s="139"/>
      <c r="BN356" s="139"/>
      <c r="BO356" s="139"/>
      <c r="BP356" s="139"/>
      <c r="BQ356" s="139"/>
      <c r="BR356" s="107">
        <f t="shared" si="530"/>
        <v>3010</v>
      </c>
    </row>
    <row r="357" spans="2:70" ht="22.8" thickBot="1" x14ac:dyDescent="0.55000000000000004">
      <c r="B357" s="1" t="s">
        <v>85</v>
      </c>
      <c r="C357" s="2" t="s">
        <v>23</v>
      </c>
      <c r="D357" s="1" t="s">
        <v>12</v>
      </c>
      <c r="E357" s="3">
        <v>15</v>
      </c>
      <c r="F357" s="4">
        <f t="shared" si="568"/>
        <v>7999.9500000000007</v>
      </c>
      <c r="G357" s="4">
        <f>+BR357</f>
        <v>2826.6</v>
      </c>
      <c r="H357" s="42">
        <f>+F357+G357</f>
        <v>10826.550000000001</v>
      </c>
      <c r="I357" s="77">
        <v>1</v>
      </c>
      <c r="J357" s="89"/>
      <c r="K357" s="7"/>
      <c r="L357" s="135"/>
      <c r="M357" s="37"/>
      <c r="N357" s="9" t="s">
        <v>309</v>
      </c>
      <c r="W357" s="1" t="s">
        <v>85</v>
      </c>
      <c r="X357" s="50">
        <v>2250</v>
      </c>
      <c r="Y357" s="48">
        <v>96</v>
      </c>
      <c r="Z357" s="49">
        <v>96</v>
      </c>
      <c r="AA357" s="49">
        <v>120</v>
      </c>
      <c r="AB357" s="49">
        <v>120</v>
      </c>
      <c r="AC357" s="31">
        <v>210.6</v>
      </c>
      <c r="AD357" s="28">
        <f t="shared" ref="AD357:AD362" si="573">+AC357-AB357</f>
        <v>90.6</v>
      </c>
      <c r="AE357" s="52">
        <v>0</v>
      </c>
      <c r="AF357" s="52">
        <f t="shared" si="240"/>
        <v>0</v>
      </c>
      <c r="AG357" s="49">
        <v>90.6</v>
      </c>
      <c r="AH357" s="22">
        <f t="shared" ref="AH357:AH362" si="574">+AD357+(AE357+AF357)-AG357</f>
        <v>0</v>
      </c>
      <c r="AI357" s="52">
        <f t="shared" si="81"/>
        <v>0</v>
      </c>
      <c r="AJ357" s="52">
        <f t="shared" si="81"/>
        <v>0</v>
      </c>
      <c r="AK357" s="49">
        <v>0</v>
      </c>
      <c r="AL357" s="69">
        <f t="shared" ref="AL357:AL362" si="575">+AH357+AI357+AJ357-AK357</f>
        <v>0</v>
      </c>
      <c r="AM357" s="52">
        <f t="shared" si="82"/>
        <v>0</v>
      </c>
      <c r="AN357" s="52">
        <f t="shared" si="82"/>
        <v>0</v>
      </c>
      <c r="AO357" s="72">
        <v>0</v>
      </c>
      <c r="AP357" s="74">
        <f t="shared" ref="AP357:AP362" si="576">+AL357+AM357+AN357-AO357</f>
        <v>0</v>
      </c>
      <c r="AQ357" s="76">
        <f>+(0)+(0)+(0)+(0)+(54)+(0)</f>
        <v>54</v>
      </c>
      <c r="AR357" s="76">
        <f t="shared" si="83"/>
        <v>0</v>
      </c>
      <c r="AS357" s="74">
        <v>54</v>
      </c>
      <c r="AT357" s="74">
        <f t="shared" ref="AT357:AT362" si="577">+AP357+AQ357+AR357-AS357</f>
        <v>0</v>
      </c>
      <c r="AU357" s="73">
        <f t="shared" si="257"/>
        <v>0</v>
      </c>
      <c r="AV357" s="73">
        <f t="shared" si="266"/>
        <v>0</v>
      </c>
      <c r="AW357" s="73">
        <v>0</v>
      </c>
      <c r="AX357" s="73">
        <f>+AT357+AU357+AV357-AW357</f>
        <v>0</v>
      </c>
      <c r="AY357" s="139"/>
      <c r="AZ357" s="139"/>
      <c r="BA357" s="139"/>
      <c r="BB357" s="139"/>
      <c r="BC357" s="139"/>
      <c r="BD357" s="139"/>
      <c r="BE357" s="139"/>
      <c r="BF357" s="139"/>
      <c r="BG357" s="139"/>
      <c r="BH357" s="139"/>
      <c r="BI357" s="139"/>
      <c r="BJ357" s="139"/>
      <c r="BK357" s="139"/>
      <c r="BL357" s="139"/>
      <c r="BM357" s="139"/>
      <c r="BN357" s="139"/>
      <c r="BO357" s="139"/>
      <c r="BP357" s="139"/>
      <c r="BQ357" s="139"/>
      <c r="BR357" s="107">
        <f t="shared" si="530"/>
        <v>2826.6</v>
      </c>
    </row>
    <row r="358" spans="2:70" ht="22.8" thickBot="1" x14ac:dyDescent="0.55000000000000004">
      <c r="B358" s="1" t="s">
        <v>417</v>
      </c>
      <c r="C358" s="2" t="s">
        <v>20</v>
      </c>
      <c r="D358" s="13">
        <v>45166</v>
      </c>
      <c r="E358" s="3">
        <v>0</v>
      </c>
      <c r="F358" s="4">
        <f t="shared" ref="F358" si="578">+E358*$C$1</f>
        <v>0</v>
      </c>
      <c r="G358" s="4">
        <f t="shared" ref="G358" si="579">+BR358</f>
        <v>0</v>
      </c>
      <c r="H358" s="42">
        <f t="shared" ref="H358" si="580">+F358+G358</f>
        <v>0</v>
      </c>
      <c r="I358" s="77">
        <v>15</v>
      </c>
      <c r="J358" s="89"/>
      <c r="K358" s="7"/>
      <c r="L358" s="136" t="s">
        <v>442</v>
      </c>
      <c r="M358" s="7"/>
      <c r="N358" s="9" t="s">
        <v>309</v>
      </c>
      <c r="W358" s="1" t="s">
        <v>417</v>
      </c>
      <c r="X358" s="50">
        <v>0</v>
      </c>
      <c r="Y358" s="48">
        <v>0</v>
      </c>
      <c r="Z358" s="49">
        <v>0</v>
      </c>
      <c r="AA358" s="49">
        <v>0</v>
      </c>
      <c r="AB358" s="49">
        <v>0</v>
      </c>
      <c r="AC358" s="31">
        <v>0</v>
      </c>
      <c r="AD358" s="28">
        <f t="shared" si="573"/>
        <v>0</v>
      </c>
      <c r="AE358" s="52">
        <v>0</v>
      </c>
      <c r="AF358" s="52">
        <v>0</v>
      </c>
      <c r="AG358" s="49">
        <v>0</v>
      </c>
      <c r="AH358" s="22">
        <f t="shared" si="574"/>
        <v>0</v>
      </c>
      <c r="AI358" s="52">
        <v>0</v>
      </c>
      <c r="AJ358" s="52">
        <v>0</v>
      </c>
      <c r="AK358" s="49">
        <v>0</v>
      </c>
      <c r="AL358" s="69">
        <f t="shared" si="575"/>
        <v>0</v>
      </c>
      <c r="AM358" s="52">
        <v>0</v>
      </c>
      <c r="AN358" s="52">
        <v>0</v>
      </c>
      <c r="AO358" s="72">
        <v>0</v>
      </c>
      <c r="AP358" s="74">
        <f t="shared" si="576"/>
        <v>0</v>
      </c>
      <c r="AQ358" s="76">
        <v>0</v>
      </c>
      <c r="AR358" s="76">
        <v>0</v>
      </c>
      <c r="AS358" s="74">
        <v>0</v>
      </c>
      <c r="AT358" s="74">
        <f t="shared" si="577"/>
        <v>0</v>
      </c>
      <c r="AU358" s="73">
        <f t="shared" si="257"/>
        <v>0</v>
      </c>
      <c r="AV358" s="73">
        <f t="shared" si="266"/>
        <v>0</v>
      </c>
      <c r="AW358" s="73">
        <v>0</v>
      </c>
      <c r="AX358" s="73">
        <f t="shared" ref="AX358" si="581">+AT358+AU358+AV358-AW358</f>
        <v>0</v>
      </c>
      <c r="AY358" s="139"/>
      <c r="AZ358" s="139"/>
      <c r="BA358" s="139"/>
      <c r="BB358" s="139"/>
      <c r="BC358" s="139"/>
      <c r="BD358" s="139"/>
      <c r="BE358" s="139"/>
      <c r="BF358" s="139"/>
      <c r="BG358" s="139"/>
      <c r="BH358" s="139"/>
      <c r="BI358" s="139"/>
      <c r="BJ358" s="139"/>
      <c r="BK358" s="139"/>
      <c r="BL358" s="139"/>
      <c r="BM358" s="139"/>
      <c r="BN358" s="139"/>
      <c r="BO358" s="139"/>
      <c r="BP358" s="139"/>
      <c r="BQ358" s="139"/>
      <c r="BR358" s="107">
        <f t="shared" si="530"/>
        <v>0</v>
      </c>
    </row>
    <row r="359" spans="2:70" ht="22.8" thickBot="1" x14ac:dyDescent="0.55000000000000004">
      <c r="B359" s="1" t="s">
        <v>409</v>
      </c>
      <c r="C359" s="2" t="s">
        <v>20</v>
      </c>
      <c r="D359" s="13">
        <v>45141</v>
      </c>
      <c r="E359" s="3">
        <v>0</v>
      </c>
      <c r="F359" s="4">
        <f t="shared" ref="F359" si="582">+E359*$C$1</f>
        <v>0</v>
      </c>
      <c r="G359" s="4">
        <f t="shared" ref="G359" si="583">+BR359</f>
        <v>0</v>
      </c>
      <c r="H359" s="42">
        <f t="shared" ref="H359" si="584">+F359+G359</f>
        <v>0</v>
      </c>
      <c r="I359" s="77">
        <v>15</v>
      </c>
      <c r="J359" s="89"/>
      <c r="K359" s="7"/>
      <c r="L359" s="136" t="s">
        <v>442</v>
      </c>
      <c r="M359" s="7"/>
      <c r="N359" s="9" t="s">
        <v>309</v>
      </c>
      <c r="W359" s="1" t="s">
        <v>409</v>
      </c>
      <c r="X359" s="50">
        <v>0</v>
      </c>
      <c r="Y359" s="48">
        <v>0</v>
      </c>
      <c r="Z359" s="49">
        <v>0</v>
      </c>
      <c r="AA359" s="49">
        <v>0</v>
      </c>
      <c r="AB359" s="49">
        <v>0</v>
      </c>
      <c r="AC359" s="31">
        <v>0</v>
      </c>
      <c r="AD359" s="28">
        <f t="shared" si="573"/>
        <v>0</v>
      </c>
      <c r="AE359" s="52">
        <v>0</v>
      </c>
      <c r="AF359" s="52">
        <v>0</v>
      </c>
      <c r="AG359" s="49">
        <v>0</v>
      </c>
      <c r="AH359" s="22">
        <f t="shared" si="574"/>
        <v>0</v>
      </c>
      <c r="AI359" s="52">
        <v>0</v>
      </c>
      <c r="AJ359" s="52">
        <v>0</v>
      </c>
      <c r="AK359" s="49">
        <v>0</v>
      </c>
      <c r="AL359" s="69">
        <f t="shared" si="575"/>
        <v>0</v>
      </c>
      <c r="AM359" s="52">
        <v>0</v>
      </c>
      <c r="AN359" s="52">
        <v>0</v>
      </c>
      <c r="AO359" s="72">
        <v>0</v>
      </c>
      <c r="AP359" s="74">
        <f t="shared" si="576"/>
        <v>0</v>
      </c>
      <c r="AQ359" s="76">
        <f t="shared" si="83"/>
        <v>0</v>
      </c>
      <c r="AR359" s="76">
        <f t="shared" si="83"/>
        <v>0</v>
      </c>
      <c r="AS359" s="74">
        <v>0</v>
      </c>
      <c r="AT359" s="74">
        <f t="shared" si="577"/>
        <v>0</v>
      </c>
      <c r="AU359" s="73">
        <f t="shared" si="257"/>
        <v>0</v>
      </c>
      <c r="AV359" s="73">
        <f t="shared" si="266"/>
        <v>0</v>
      </c>
      <c r="AW359" s="73">
        <v>0</v>
      </c>
      <c r="AX359" s="73">
        <f>+AT359+AU359+AV359-AW359</f>
        <v>0</v>
      </c>
      <c r="AY359" s="139"/>
      <c r="AZ359" s="139"/>
      <c r="BA359" s="139"/>
      <c r="BB359" s="139"/>
      <c r="BC359" s="139"/>
      <c r="BD359" s="139"/>
      <c r="BE359" s="139"/>
      <c r="BF359" s="139"/>
      <c r="BG359" s="139"/>
      <c r="BH359" s="139"/>
      <c r="BI359" s="139"/>
      <c r="BJ359" s="139"/>
      <c r="BK359" s="139"/>
      <c r="BL359" s="139"/>
      <c r="BM359" s="139"/>
      <c r="BN359" s="139"/>
      <c r="BO359" s="139"/>
      <c r="BP359" s="139"/>
      <c r="BQ359" s="139"/>
      <c r="BR359" s="107">
        <f t="shared" si="530"/>
        <v>0</v>
      </c>
    </row>
    <row r="360" spans="2:70" ht="22.8" thickBot="1" x14ac:dyDescent="0.55000000000000004">
      <c r="B360" s="1" t="s">
        <v>93</v>
      </c>
      <c r="C360" s="2" t="s">
        <v>24</v>
      </c>
      <c r="D360" s="1" t="s">
        <v>160</v>
      </c>
      <c r="E360" s="3">
        <v>13</v>
      </c>
      <c r="F360" s="4">
        <f>+E360*$C$1</f>
        <v>6933.2900000000009</v>
      </c>
      <c r="G360" s="4">
        <f>+BR360</f>
        <v>2016</v>
      </c>
      <c r="H360" s="42">
        <f>+F360+G360</f>
        <v>8949.2900000000009</v>
      </c>
      <c r="I360" s="77">
        <v>4</v>
      </c>
      <c r="J360" s="89"/>
      <c r="K360" s="7"/>
      <c r="L360" s="41">
        <v>46169</v>
      </c>
      <c r="M360" s="37"/>
      <c r="N360" s="9" t="s">
        <v>309</v>
      </c>
      <c r="W360" s="1" t="s">
        <v>93</v>
      </c>
      <c r="X360" s="50">
        <v>1320</v>
      </c>
      <c r="Y360" s="48">
        <v>120</v>
      </c>
      <c r="Z360" s="49">
        <v>96</v>
      </c>
      <c r="AA360" s="49">
        <v>96</v>
      </c>
      <c r="AB360" s="49">
        <v>120</v>
      </c>
      <c r="AC360" s="31">
        <v>156</v>
      </c>
      <c r="AD360" s="28">
        <f t="shared" si="573"/>
        <v>36</v>
      </c>
      <c r="AE360" s="52">
        <v>54</v>
      </c>
      <c r="AF360" s="52">
        <f t="shared" si="366"/>
        <v>0</v>
      </c>
      <c r="AG360" s="49">
        <v>90</v>
      </c>
      <c r="AH360" s="22">
        <f t="shared" si="574"/>
        <v>0</v>
      </c>
      <c r="AI360" s="52">
        <f t="shared" si="81"/>
        <v>0</v>
      </c>
      <c r="AJ360" s="52">
        <f t="shared" si="81"/>
        <v>0</v>
      </c>
      <c r="AK360" s="49">
        <v>0</v>
      </c>
      <c r="AL360" s="69">
        <f t="shared" si="575"/>
        <v>0</v>
      </c>
      <c r="AM360" s="52">
        <f t="shared" si="82"/>
        <v>0</v>
      </c>
      <c r="AN360" s="52">
        <f t="shared" si="82"/>
        <v>0</v>
      </c>
      <c r="AO360" s="72">
        <v>0</v>
      </c>
      <c r="AP360" s="74">
        <f t="shared" si="576"/>
        <v>0</v>
      </c>
      <c r="AQ360" s="76">
        <f>+(0)+(0)+(0)+(0)+(54)+(0)</f>
        <v>54</v>
      </c>
      <c r="AR360" s="76">
        <f t="shared" si="83"/>
        <v>0</v>
      </c>
      <c r="AS360" s="74">
        <v>54</v>
      </c>
      <c r="AT360" s="74">
        <f t="shared" si="577"/>
        <v>0</v>
      </c>
      <c r="AU360" s="73">
        <f>+(0)+(0)+(0)+(174)</f>
        <v>174</v>
      </c>
      <c r="AV360" s="73">
        <f t="shared" si="266"/>
        <v>0</v>
      </c>
      <c r="AW360" s="73">
        <v>120</v>
      </c>
      <c r="AX360" s="73">
        <f>+AT360+AU360+AV360-AW360</f>
        <v>54</v>
      </c>
      <c r="AY360" s="139"/>
      <c r="AZ360" s="139"/>
      <c r="BA360" s="139"/>
      <c r="BB360" s="139"/>
      <c r="BC360" s="139"/>
      <c r="BD360" s="139"/>
      <c r="BE360" s="139"/>
      <c r="BF360" s="139"/>
      <c r="BG360" s="139"/>
      <c r="BH360" s="139"/>
      <c r="BI360" s="139"/>
      <c r="BJ360" s="139"/>
      <c r="BK360" s="139"/>
      <c r="BL360" s="139"/>
      <c r="BM360" s="139"/>
      <c r="BN360" s="139"/>
      <c r="BO360" s="139"/>
      <c r="BP360" s="139"/>
      <c r="BQ360" s="139"/>
      <c r="BR360" s="107">
        <f t="shared" si="530"/>
        <v>2016</v>
      </c>
    </row>
    <row r="361" spans="2:70" ht="22.8" thickBot="1" x14ac:dyDescent="0.55000000000000004">
      <c r="B361" s="1" t="s">
        <v>438</v>
      </c>
      <c r="C361" s="2" t="s">
        <v>21</v>
      </c>
      <c r="D361" s="13">
        <v>45330</v>
      </c>
      <c r="E361" s="4">
        <v>0</v>
      </c>
      <c r="F361" s="4">
        <f t="shared" ref="F361" si="585">+E361*$C$1</f>
        <v>0</v>
      </c>
      <c r="G361" s="4">
        <f t="shared" ref="G361" si="586">+BR361</f>
        <v>0</v>
      </c>
      <c r="H361" s="42">
        <f t="shared" ref="H361" si="587">+F361+G361</f>
        <v>0</v>
      </c>
      <c r="I361" s="77">
        <v>15</v>
      </c>
      <c r="J361" s="89"/>
      <c r="K361" s="7"/>
      <c r="L361" s="137">
        <v>46061</v>
      </c>
      <c r="M361" s="7"/>
      <c r="N361" s="9" t="s">
        <v>309</v>
      </c>
      <c r="W361" s="1" t="s">
        <v>438</v>
      </c>
      <c r="X361" s="48">
        <v>0</v>
      </c>
      <c r="Y361" s="48">
        <v>0</v>
      </c>
      <c r="Z361" s="49">
        <v>0</v>
      </c>
      <c r="AA361" s="49">
        <v>0</v>
      </c>
      <c r="AB361" s="49">
        <v>0</v>
      </c>
      <c r="AC361" s="31">
        <v>0</v>
      </c>
      <c r="AD361" s="28">
        <f t="shared" si="573"/>
        <v>0</v>
      </c>
      <c r="AE361" s="52">
        <v>0</v>
      </c>
      <c r="AF361" s="52">
        <v>0</v>
      </c>
      <c r="AG361" s="49">
        <v>0</v>
      </c>
      <c r="AH361" s="22">
        <f t="shared" si="574"/>
        <v>0</v>
      </c>
      <c r="AI361" s="52">
        <v>0</v>
      </c>
      <c r="AJ361" s="52">
        <v>0</v>
      </c>
      <c r="AK361" s="49">
        <v>0</v>
      </c>
      <c r="AL361" s="31">
        <f t="shared" si="575"/>
        <v>0</v>
      </c>
      <c r="AM361" s="52">
        <v>0</v>
      </c>
      <c r="AN361" s="52">
        <v>0</v>
      </c>
      <c r="AO361" s="72">
        <v>0</v>
      </c>
      <c r="AP361" s="84">
        <f t="shared" si="576"/>
        <v>0</v>
      </c>
      <c r="AQ361" s="76">
        <v>0</v>
      </c>
      <c r="AR361" s="76">
        <v>0</v>
      </c>
      <c r="AS361" s="74">
        <v>0</v>
      </c>
      <c r="AT361" s="84">
        <f t="shared" si="577"/>
        <v>0</v>
      </c>
      <c r="AU361" s="73">
        <f t="shared" si="257"/>
        <v>0</v>
      </c>
      <c r="AV361" s="73">
        <f t="shared" si="266"/>
        <v>0</v>
      </c>
      <c r="AW361" s="73">
        <v>0</v>
      </c>
      <c r="AX361" s="73">
        <f>+AT361+AU361+AV361-AW361</f>
        <v>0</v>
      </c>
      <c r="AY361" s="139"/>
      <c r="AZ361" s="139"/>
      <c r="BA361" s="139"/>
      <c r="BB361" s="139"/>
      <c r="BC361" s="139"/>
      <c r="BD361" s="139"/>
      <c r="BE361" s="139"/>
      <c r="BF361" s="139"/>
      <c r="BG361" s="139"/>
      <c r="BH361" s="139"/>
      <c r="BI361" s="139"/>
      <c r="BJ361" s="139"/>
      <c r="BK361" s="139"/>
      <c r="BL361" s="139"/>
      <c r="BM361" s="139"/>
      <c r="BN361" s="139"/>
      <c r="BO361" s="139"/>
      <c r="BP361" s="139"/>
      <c r="BQ361" s="139"/>
      <c r="BR361" s="107">
        <f t="shared" si="530"/>
        <v>0</v>
      </c>
    </row>
    <row r="362" spans="2:70" ht="22.8" thickBot="1" x14ac:dyDescent="0.55000000000000004">
      <c r="B362" s="1" t="s">
        <v>440</v>
      </c>
      <c r="C362" s="2" t="s">
        <v>21</v>
      </c>
      <c r="D362" s="13">
        <v>45330</v>
      </c>
      <c r="E362" s="4">
        <v>9</v>
      </c>
      <c r="F362" s="4">
        <f t="shared" ref="F362" si="588">+E362*$C$1</f>
        <v>4799.97</v>
      </c>
      <c r="G362" s="4">
        <f t="shared" ref="G362" si="589">+BR362</f>
        <v>84</v>
      </c>
      <c r="H362" s="42">
        <f t="shared" ref="H362" si="590">+F362+G362</f>
        <v>4883.97</v>
      </c>
      <c r="I362" s="77">
        <v>10</v>
      </c>
      <c r="J362" s="89"/>
      <c r="K362" s="7"/>
      <c r="L362" s="137">
        <v>45809</v>
      </c>
      <c r="M362" s="7"/>
      <c r="N362" s="9" t="s">
        <v>309</v>
      </c>
      <c r="W362" s="1" t="s">
        <v>440</v>
      </c>
      <c r="X362" s="125">
        <v>84</v>
      </c>
      <c r="Y362" s="48">
        <v>0</v>
      </c>
      <c r="Z362" s="49">
        <v>0</v>
      </c>
      <c r="AA362" s="49">
        <v>0</v>
      </c>
      <c r="AB362" s="49">
        <v>0</v>
      </c>
      <c r="AC362" s="31">
        <v>0</v>
      </c>
      <c r="AD362" s="28">
        <f t="shared" si="573"/>
        <v>0</v>
      </c>
      <c r="AE362" s="52">
        <v>0</v>
      </c>
      <c r="AF362" s="52">
        <v>0</v>
      </c>
      <c r="AG362" s="49">
        <v>0</v>
      </c>
      <c r="AH362" s="22">
        <f t="shared" si="574"/>
        <v>0</v>
      </c>
      <c r="AI362" s="52">
        <v>0</v>
      </c>
      <c r="AJ362" s="52">
        <v>0</v>
      </c>
      <c r="AK362" s="49">
        <v>0</v>
      </c>
      <c r="AL362" s="31">
        <f t="shared" si="575"/>
        <v>0</v>
      </c>
      <c r="AM362" s="52">
        <v>0</v>
      </c>
      <c r="AN362" s="52">
        <v>0</v>
      </c>
      <c r="AO362" s="72">
        <v>0</v>
      </c>
      <c r="AP362" s="84">
        <f t="shared" si="576"/>
        <v>0</v>
      </c>
      <c r="AQ362" s="76">
        <v>0</v>
      </c>
      <c r="AR362" s="76">
        <v>0</v>
      </c>
      <c r="AS362" s="74">
        <v>0</v>
      </c>
      <c r="AT362" s="84">
        <f t="shared" si="577"/>
        <v>0</v>
      </c>
      <c r="AU362" s="73">
        <f t="shared" si="257"/>
        <v>0</v>
      </c>
      <c r="AV362" s="73">
        <f t="shared" si="266"/>
        <v>0</v>
      </c>
      <c r="AW362" s="73">
        <v>0</v>
      </c>
      <c r="AX362" s="73">
        <f t="shared" ref="AX362" si="591">+AT362+AU362+AV362-AW362</f>
        <v>0</v>
      </c>
      <c r="AY362" s="139"/>
      <c r="AZ362" s="139"/>
      <c r="BA362" s="139"/>
      <c r="BB362" s="139"/>
      <c r="BC362" s="139"/>
      <c r="BD362" s="139"/>
      <c r="BE362" s="139"/>
      <c r="BF362" s="139"/>
      <c r="BG362" s="139"/>
      <c r="BH362" s="139"/>
      <c r="BI362" s="139"/>
      <c r="BJ362" s="139"/>
      <c r="BK362" s="139"/>
      <c r="BL362" s="139"/>
      <c r="BM362" s="139"/>
      <c r="BN362" s="139"/>
      <c r="BO362" s="139"/>
      <c r="BP362" s="139"/>
      <c r="BQ362" s="139"/>
      <c r="BR362" s="107">
        <f t="shared" si="530"/>
        <v>84</v>
      </c>
    </row>
    <row r="363" spans="2:70" ht="25.8" thickBot="1" x14ac:dyDescent="0.65">
      <c r="B363" s="1" t="s">
        <v>443</v>
      </c>
      <c r="C363" s="2" t="s">
        <v>20</v>
      </c>
      <c r="D363" s="13">
        <v>45394</v>
      </c>
      <c r="E363" s="3">
        <v>0</v>
      </c>
      <c r="F363" s="4">
        <f t="shared" ref="F363" si="592">+E363*$C$1</f>
        <v>0</v>
      </c>
      <c r="G363" s="4">
        <f t="shared" ref="G363:G364" si="593">+BR363</f>
        <v>0</v>
      </c>
      <c r="H363" s="42">
        <f t="shared" ref="H363" si="594">+F363+G363</f>
        <v>0</v>
      </c>
      <c r="I363" s="77">
        <v>15</v>
      </c>
      <c r="J363" s="89"/>
      <c r="K363" s="7"/>
      <c r="L363" s="136" t="s">
        <v>442</v>
      </c>
      <c r="M363" s="7"/>
      <c r="N363" s="9" t="s">
        <v>309</v>
      </c>
      <c r="W363" s="1" t="s">
        <v>443</v>
      </c>
      <c r="X363" s="50"/>
      <c r="Y363" s="48"/>
      <c r="Z363" s="49"/>
      <c r="AA363" s="49"/>
      <c r="AB363" s="49"/>
      <c r="AC363" s="31"/>
      <c r="AD363" s="28"/>
      <c r="AE363" s="52"/>
      <c r="AF363" s="52"/>
      <c r="AG363" s="49"/>
      <c r="AH363" s="22"/>
      <c r="AI363" s="52"/>
      <c r="AJ363" s="52"/>
      <c r="AK363" s="49"/>
      <c r="AL363" s="31"/>
      <c r="AM363" s="52"/>
      <c r="AN363" s="52"/>
      <c r="AO363" s="72"/>
      <c r="AP363" s="74"/>
      <c r="AQ363" s="76"/>
      <c r="AR363" s="76"/>
      <c r="AS363" s="74"/>
      <c r="AT363" s="74"/>
      <c r="AU363" s="73"/>
      <c r="AV363" s="73"/>
      <c r="AW363" s="73"/>
      <c r="AX363" s="73">
        <f>+AT363+AU363+AV363-AW363</f>
        <v>0</v>
      </c>
      <c r="AY363" s="109">
        <f t="shared" si="123"/>
        <v>0</v>
      </c>
      <c r="AZ363" s="109">
        <f t="shared" si="111"/>
        <v>0</v>
      </c>
      <c r="BA363" s="109">
        <v>0</v>
      </c>
      <c r="BB363" s="109">
        <f t="shared" ref="BB363:BB368" si="595">(AX363+AY363+AZ363)-BA363</f>
        <v>0</v>
      </c>
      <c r="BC363" s="202"/>
      <c r="BD363" s="202"/>
      <c r="BE363" s="202"/>
      <c r="BF363" s="202"/>
      <c r="BG363" s="202"/>
      <c r="BH363" s="202"/>
      <c r="BI363" s="202"/>
      <c r="BJ363" s="202"/>
      <c r="BK363" s="202"/>
      <c r="BL363" s="202"/>
      <c r="BM363" s="202"/>
      <c r="BN363" s="202"/>
      <c r="BO363" s="202"/>
      <c r="BP363" s="202"/>
      <c r="BQ363" s="202"/>
      <c r="BR363" s="151">
        <f t="shared" ref="BR363:BR395" si="596">SUM(X363:AA363)+AB363+AG363+AK363+AO363+AS363+AW363+BA363</f>
        <v>0</v>
      </c>
    </row>
    <row r="364" spans="2:70" ht="25.8" thickBot="1" x14ac:dyDescent="0.65">
      <c r="B364" s="1" t="s">
        <v>456</v>
      </c>
      <c r="C364" s="2" t="s">
        <v>21</v>
      </c>
      <c r="D364" s="13">
        <v>45499</v>
      </c>
      <c r="E364" s="4">
        <v>0</v>
      </c>
      <c r="F364" s="4">
        <f>+E364*$C$1</f>
        <v>0</v>
      </c>
      <c r="G364" s="4">
        <f t="shared" si="593"/>
        <v>0</v>
      </c>
      <c r="H364" s="42">
        <f>+F364+G364</f>
        <v>0</v>
      </c>
      <c r="I364" s="6">
        <v>15</v>
      </c>
      <c r="J364" s="89">
        <v>15</v>
      </c>
      <c r="K364" s="7"/>
      <c r="L364" s="59">
        <v>46229</v>
      </c>
      <c r="M364" s="7"/>
      <c r="N364" s="9" t="s">
        <v>309</v>
      </c>
      <c r="W364" s="1" t="s">
        <v>456</v>
      </c>
      <c r="X364" s="48">
        <v>0</v>
      </c>
      <c r="Y364" s="48"/>
      <c r="Z364" s="49"/>
      <c r="AA364" s="49"/>
      <c r="AB364" s="49"/>
      <c r="AC364" s="31"/>
      <c r="AD364" s="28"/>
      <c r="AE364" s="52"/>
      <c r="AF364" s="52"/>
      <c r="AG364" s="49"/>
      <c r="AH364" s="22"/>
      <c r="AI364" s="52"/>
      <c r="AJ364" s="52"/>
      <c r="AK364" s="49"/>
      <c r="AL364" s="31"/>
      <c r="AM364" s="52"/>
      <c r="AN364" s="52"/>
      <c r="AO364" s="72"/>
      <c r="AP364" s="74"/>
      <c r="AQ364" s="76"/>
      <c r="AR364" s="76"/>
      <c r="AS364" s="74"/>
      <c r="AT364" s="74"/>
      <c r="AU364" s="73">
        <f t="shared" si="257"/>
        <v>0</v>
      </c>
      <c r="AV364" s="73">
        <f t="shared" si="266"/>
        <v>0</v>
      </c>
      <c r="AW364" s="73">
        <v>0</v>
      </c>
      <c r="AX364" s="73">
        <f>+AT364+AU364+AV364-AW364</f>
        <v>0</v>
      </c>
      <c r="AY364" s="109">
        <f t="shared" si="241"/>
        <v>0</v>
      </c>
      <c r="AZ364" s="109">
        <f t="shared" si="244"/>
        <v>0</v>
      </c>
      <c r="BA364" s="109">
        <v>0</v>
      </c>
      <c r="BB364" s="109">
        <f t="shared" si="595"/>
        <v>0</v>
      </c>
      <c r="BC364" s="202"/>
      <c r="BD364" s="202"/>
      <c r="BE364" s="202"/>
      <c r="BF364" s="202"/>
      <c r="BG364" s="202"/>
      <c r="BH364" s="202"/>
      <c r="BI364" s="202"/>
      <c r="BJ364" s="202"/>
      <c r="BK364" s="202"/>
      <c r="BL364" s="202"/>
      <c r="BM364" s="202"/>
      <c r="BN364" s="202"/>
      <c r="BO364" s="202"/>
      <c r="BP364" s="202"/>
      <c r="BQ364" s="202"/>
      <c r="BR364" s="151">
        <f t="shared" si="596"/>
        <v>0</v>
      </c>
    </row>
    <row r="365" spans="2:70" ht="25.8" thickBot="1" x14ac:dyDescent="0.65">
      <c r="B365" s="1" t="s">
        <v>326</v>
      </c>
      <c r="C365" s="2" t="s">
        <v>20</v>
      </c>
      <c r="D365" s="18">
        <v>44197</v>
      </c>
      <c r="E365" s="3">
        <v>1</v>
      </c>
      <c r="F365" s="4">
        <f>+E365*$C$1</f>
        <v>533.33000000000004</v>
      </c>
      <c r="G365" s="4">
        <f>+BR365</f>
        <v>156</v>
      </c>
      <c r="H365" s="42">
        <f>+F365+G365</f>
        <v>689.33</v>
      </c>
      <c r="I365" s="77">
        <v>15</v>
      </c>
      <c r="J365" s="89">
        <v>15</v>
      </c>
      <c r="K365" s="7"/>
      <c r="L365" s="41">
        <v>45658</v>
      </c>
      <c r="M365" s="37"/>
      <c r="N365" s="9" t="s">
        <v>309</v>
      </c>
      <c r="W365" s="1" t="s">
        <v>326</v>
      </c>
      <c r="X365" s="50">
        <v>0</v>
      </c>
      <c r="Y365" s="48">
        <v>0</v>
      </c>
      <c r="Z365" s="49">
        <v>0</v>
      </c>
      <c r="AA365" s="49">
        <v>0</v>
      </c>
      <c r="AB365" s="49">
        <v>0</v>
      </c>
      <c r="AC365" s="31">
        <v>0</v>
      </c>
      <c r="AD365" s="28">
        <f>+AC365-AB365</f>
        <v>0</v>
      </c>
      <c r="AE365" s="52">
        <v>0</v>
      </c>
      <c r="AF365" s="52">
        <v>0</v>
      </c>
      <c r="AG365" s="49">
        <v>0</v>
      </c>
      <c r="AH365" s="22">
        <f>+AD365+(AE365+AF365)-AG365</f>
        <v>0</v>
      </c>
      <c r="AI365" s="52">
        <f t="shared" si="81"/>
        <v>0</v>
      </c>
      <c r="AJ365" s="52">
        <f>+(78)+(0)+(0)+(0)+(78)+(0)</f>
        <v>156</v>
      </c>
      <c r="AK365" s="49">
        <v>150</v>
      </c>
      <c r="AL365" s="31">
        <f>+AH365+AI365+AJ365-AK365</f>
        <v>6</v>
      </c>
      <c r="AM365" s="52">
        <f t="shared" si="82"/>
        <v>0</v>
      </c>
      <c r="AN365" s="52">
        <f t="shared" si="82"/>
        <v>0</v>
      </c>
      <c r="AO365" s="72">
        <v>6</v>
      </c>
      <c r="AP365" s="74">
        <f>+AL365+AM365+AN365-AO365</f>
        <v>0</v>
      </c>
      <c r="AQ365" s="76">
        <f t="shared" si="83"/>
        <v>0</v>
      </c>
      <c r="AR365" s="76">
        <f t="shared" si="83"/>
        <v>0</v>
      </c>
      <c r="AS365" s="74">
        <v>0</v>
      </c>
      <c r="AT365" s="74">
        <f>+AP365+AQ365+AR365-AS365</f>
        <v>0</v>
      </c>
      <c r="AU365" s="73">
        <f t="shared" si="257"/>
        <v>0</v>
      </c>
      <c r="AV365" s="73">
        <f t="shared" si="266"/>
        <v>0</v>
      </c>
      <c r="AW365" s="73">
        <v>0</v>
      </c>
      <c r="AX365" s="73">
        <f>+AT365+AU365+AV365-AW365</f>
        <v>0</v>
      </c>
      <c r="AY365" s="109">
        <f t="shared" si="241"/>
        <v>0</v>
      </c>
      <c r="AZ365" s="109">
        <f t="shared" si="244"/>
        <v>0</v>
      </c>
      <c r="BA365" s="109">
        <v>0</v>
      </c>
      <c r="BB365" s="109">
        <f t="shared" si="595"/>
        <v>0</v>
      </c>
      <c r="BC365" s="202"/>
      <c r="BD365" s="202"/>
      <c r="BE365" s="202"/>
      <c r="BF365" s="202"/>
      <c r="BG365" s="202"/>
      <c r="BH365" s="202"/>
      <c r="BI365" s="202"/>
      <c r="BJ365" s="202"/>
      <c r="BK365" s="202"/>
      <c r="BL365" s="202"/>
      <c r="BM365" s="202"/>
      <c r="BN365" s="202"/>
      <c r="BO365" s="202"/>
      <c r="BP365" s="202"/>
      <c r="BQ365" s="202"/>
      <c r="BR365" s="151">
        <f t="shared" si="596"/>
        <v>156</v>
      </c>
    </row>
    <row r="366" spans="2:70" ht="25.8" thickBot="1" x14ac:dyDescent="0.65">
      <c r="B366" s="1" t="s">
        <v>420</v>
      </c>
      <c r="C366" s="2" t="s">
        <v>20</v>
      </c>
      <c r="D366" s="18">
        <v>45250</v>
      </c>
      <c r="E366" s="3">
        <v>0</v>
      </c>
      <c r="F366" s="4">
        <f>+E366*$C$1</f>
        <v>0</v>
      </c>
      <c r="G366" s="4">
        <f t="shared" ref="G366" si="597">+BR366</f>
        <v>0</v>
      </c>
      <c r="H366" s="42">
        <f t="shared" ref="H366" si="598">+F366+G366</f>
        <v>0</v>
      </c>
      <c r="I366" s="77">
        <v>15</v>
      </c>
      <c r="J366" s="89">
        <v>15</v>
      </c>
      <c r="K366" s="7"/>
      <c r="L366" s="136" t="s">
        <v>442</v>
      </c>
      <c r="M366" s="7"/>
      <c r="N366" s="9" t="s">
        <v>309</v>
      </c>
      <c r="W366" s="1" t="s">
        <v>420</v>
      </c>
      <c r="X366" s="50">
        <v>0</v>
      </c>
      <c r="Y366" s="48">
        <v>0</v>
      </c>
      <c r="Z366" s="49">
        <v>0</v>
      </c>
      <c r="AA366" s="49">
        <v>0</v>
      </c>
      <c r="AB366" s="49">
        <v>0</v>
      </c>
      <c r="AC366" s="31">
        <v>0</v>
      </c>
      <c r="AD366" s="28">
        <f>+AC366-AB366</f>
        <v>0</v>
      </c>
      <c r="AE366" s="52">
        <v>0</v>
      </c>
      <c r="AF366" s="52">
        <v>0</v>
      </c>
      <c r="AG366" s="49">
        <v>0</v>
      </c>
      <c r="AH366" s="22">
        <f>+AD366+(AE366+AF366)-AG366</f>
        <v>0</v>
      </c>
      <c r="AI366" s="52">
        <v>0</v>
      </c>
      <c r="AJ366" s="52">
        <v>0</v>
      </c>
      <c r="AK366" s="49">
        <v>0</v>
      </c>
      <c r="AL366" s="31">
        <f>+AH366+AI366+AJ366-AK366</f>
        <v>0</v>
      </c>
      <c r="AM366" s="52">
        <v>0</v>
      </c>
      <c r="AN366" s="52">
        <v>0</v>
      </c>
      <c r="AO366" s="72">
        <v>0</v>
      </c>
      <c r="AP366" s="74">
        <f>+AL366+AM366+AN366-AO366</f>
        <v>0</v>
      </c>
      <c r="AQ366" s="76">
        <v>0</v>
      </c>
      <c r="AR366" s="76">
        <v>0</v>
      </c>
      <c r="AS366" s="74">
        <v>0</v>
      </c>
      <c r="AT366" s="74">
        <f>+AP366+AQ366+AR366-AS366</f>
        <v>0</v>
      </c>
      <c r="AU366" s="73">
        <f t="shared" si="44"/>
        <v>0</v>
      </c>
      <c r="AV366" s="73">
        <f t="shared" si="30"/>
        <v>0</v>
      </c>
      <c r="AW366" s="73">
        <v>0</v>
      </c>
      <c r="AX366" s="73">
        <f t="shared" ref="AX366" si="599">+AT366+AU366+AV366-AW366</f>
        <v>0</v>
      </c>
      <c r="AY366" s="109">
        <f>+(0)+(0)+(0)+(0)</f>
        <v>0</v>
      </c>
      <c r="AZ366" s="109">
        <f>+(0)+(0)+(0)+(0)+(0)+(0)+(0)+(0)</f>
        <v>0</v>
      </c>
      <c r="BA366" s="109">
        <v>0</v>
      </c>
      <c r="BB366" s="109">
        <f t="shared" si="595"/>
        <v>0</v>
      </c>
      <c r="BC366" s="202"/>
      <c r="BD366" s="202"/>
      <c r="BE366" s="202"/>
      <c r="BF366" s="202"/>
      <c r="BG366" s="202"/>
      <c r="BH366" s="202"/>
      <c r="BI366" s="202"/>
      <c r="BJ366" s="202"/>
      <c r="BK366" s="202"/>
      <c r="BL366" s="202"/>
      <c r="BM366" s="202"/>
      <c r="BN366" s="202"/>
      <c r="BO366" s="202"/>
      <c r="BP366" s="202"/>
      <c r="BQ366" s="202"/>
      <c r="BR366" s="151">
        <f t="shared" si="596"/>
        <v>0</v>
      </c>
    </row>
    <row r="367" spans="2:70" ht="25.8" thickBot="1" x14ac:dyDescent="0.65">
      <c r="B367" s="1" t="s">
        <v>451</v>
      </c>
      <c r="C367" s="2" t="s">
        <v>20</v>
      </c>
      <c r="D367" s="13">
        <v>45455</v>
      </c>
      <c r="E367" s="4">
        <v>0</v>
      </c>
      <c r="F367" s="4">
        <f>+E367*$C$1</f>
        <v>0</v>
      </c>
      <c r="G367" s="4">
        <f>+BR367</f>
        <v>0</v>
      </c>
      <c r="H367" s="42">
        <f>+F367+G367</f>
        <v>0</v>
      </c>
      <c r="I367" s="77">
        <v>13</v>
      </c>
      <c r="J367" s="89">
        <v>13</v>
      </c>
      <c r="K367" s="7"/>
      <c r="L367" s="39">
        <v>46185</v>
      </c>
      <c r="M367" s="37"/>
      <c r="N367" s="9" t="s">
        <v>309</v>
      </c>
      <c r="W367" s="1" t="s">
        <v>451</v>
      </c>
      <c r="X367" s="51"/>
      <c r="Y367" s="48"/>
      <c r="Z367" s="49"/>
      <c r="AA367" s="49"/>
      <c r="AB367" s="49"/>
      <c r="AC367" s="31"/>
      <c r="AD367" s="28"/>
      <c r="AE367" s="52"/>
      <c r="AF367" s="52"/>
      <c r="AG367" s="49"/>
      <c r="AH367" s="22"/>
      <c r="AI367" s="52"/>
      <c r="AJ367" s="52"/>
      <c r="AK367" s="49"/>
      <c r="AL367" s="31"/>
      <c r="AM367" s="52"/>
      <c r="AN367" s="52"/>
      <c r="AO367" s="72"/>
      <c r="AP367" s="74"/>
      <c r="AQ367" s="76"/>
      <c r="AR367" s="76"/>
      <c r="AS367" s="74"/>
      <c r="AT367" s="74"/>
      <c r="AU367" s="73"/>
      <c r="AV367" s="73"/>
      <c r="AW367" s="73"/>
      <c r="AX367" s="73"/>
      <c r="AY367" s="109">
        <f t="shared" si="123"/>
        <v>0</v>
      </c>
      <c r="AZ367" s="109">
        <f t="shared" si="111"/>
        <v>0</v>
      </c>
      <c r="BA367" s="153">
        <v>0</v>
      </c>
      <c r="BB367" s="153">
        <f t="shared" si="595"/>
        <v>0</v>
      </c>
      <c r="BC367" s="203"/>
      <c r="BD367" s="203"/>
      <c r="BE367" s="203"/>
      <c r="BF367" s="203"/>
      <c r="BG367" s="203"/>
      <c r="BH367" s="203"/>
      <c r="BI367" s="203"/>
      <c r="BJ367" s="203"/>
      <c r="BK367" s="203"/>
      <c r="BL367" s="203"/>
      <c r="BM367" s="203"/>
      <c r="BN367" s="203"/>
      <c r="BO367" s="203"/>
      <c r="BP367" s="203"/>
      <c r="BQ367" s="203"/>
      <c r="BR367" s="154">
        <f t="shared" si="596"/>
        <v>0</v>
      </c>
    </row>
    <row r="368" spans="2:70" ht="25.8" thickBot="1" x14ac:dyDescent="0.65">
      <c r="B368" s="1" t="s">
        <v>292</v>
      </c>
      <c r="C368" s="2" t="s">
        <v>20</v>
      </c>
      <c r="D368" s="18">
        <v>43358</v>
      </c>
      <c r="E368" s="3">
        <v>3</v>
      </c>
      <c r="F368" s="4">
        <f>+E368*$C$1</f>
        <v>1599.9900000000002</v>
      </c>
      <c r="G368" s="4">
        <f>+BR368</f>
        <v>450.6</v>
      </c>
      <c r="H368" s="42">
        <f>+F368+G368</f>
        <v>2050.59</v>
      </c>
      <c r="I368" s="77">
        <v>13</v>
      </c>
      <c r="J368" s="89">
        <v>13</v>
      </c>
      <c r="K368" s="7"/>
      <c r="L368" s="41">
        <v>46280</v>
      </c>
      <c r="M368" s="37"/>
      <c r="N368" s="9" t="s">
        <v>309</v>
      </c>
      <c r="W368" s="1" t="s">
        <v>292</v>
      </c>
      <c r="X368" s="50">
        <v>0</v>
      </c>
      <c r="Y368" s="48">
        <v>0</v>
      </c>
      <c r="Z368" s="49">
        <v>0</v>
      </c>
      <c r="AA368" s="49">
        <v>0</v>
      </c>
      <c r="AB368" s="49">
        <v>54.6</v>
      </c>
      <c r="AC368" s="31">
        <v>54.6</v>
      </c>
      <c r="AD368" s="28">
        <f>+AC368-AB368</f>
        <v>0</v>
      </c>
      <c r="AE368" s="52">
        <v>78</v>
      </c>
      <c r="AF368" s="52">
        <f>+(0)+(0)+(0)+(0)+(0)+(162)</f>
        <v>162</v>
      </c>
      <c r="AG368" s="49">
        <v>150</v>
      </c>
      <c r="AH368" s="22">
        <f>+AD368+(AE368+AF368)-AG368</f>
        <v>90</v>
      </c>
      <c r="AI368" s="52">
        <f t="shared" si="81"/>
        <v>0</v>
      </c>
      <c r="AJ368" s="52">
        <f t="shared" si="81"/>
        <v>0</v>
      </c>
      <c r="AK368" s="49">
        <v>90</v>
      </c>
      <c r="AL368" s="31">
        <f>+AH368+AI368+AJ368-AK368</f>
        <v>0</v>
      </c>
      <c r="AM368" s="52">
        <f t="shared" si="82"/>
        <v>0</v>
      </c>
      <c r="AN368" s="52">
        <f t="shared" si="82"/>
        <v>0</v>
      </c>
      <c r="AO368" s="72">
        <v>0</v>
      </c>
      <c r="AP368" s="74">
        <f>+AL368+AM368+AN368-AO368</f>
        <v>0</v>
      </c>
      <c r="AQ368" s="76">
        <f t="shared" si="83"/>
        <v>0</v>
      </c>
      <c r="AR368" s="76">
        <f t="shared" si="83"/>
        <v>0</v>
      </c>
      <c r="AS368" s="74">
        <v>0</v>
      </c>
      <c r="AT368" s="74">
        <f>+AP368+AQ368+AR368-AS368</f>
        <v>0</v>
      </c>
      <c r="AU368" s="73">
        <f>+(78)+(0)+(0)+(78)</f>
        <v>156</v>
      </c>
      <c r="AV368" s="73">
        <f>+(0)+(0)+(0)+(0)+(0)+(0)+(0)+(0)</f>
        <v>0</v>
      </c>
      <c r="AW368" s="73">
        <v>150</v>
      </c>
      <c r="AX368" s="73">
        <f>+AT368+AU368+AV368-AW368</f>
        <v>6</v>
      </c>
      <c r="AY368" s="109">
        <f t="shared" si="241"/>
        <v>0</v>
      </c>
      <c r="AZ368" s="109">
        <f t="shared" si="244"/>
        <v>0</v>
      </c>
      <c r="BA368" s="153">
        <v>6</v>
      </c>
      <c r="BB368" s="153">
        <f t="shared" si="595"/>
        <v>0</v>
      </c>
      <c r="BC368" s="203"/>
      <c r="BD368" s="203"/>
      <c r="BE368" s="203"/>
      <c r="BF368" s="203"/>
      <c r="BG368" s="203"/>
      <c r="BH368" s="203"/>
      <c r="BI368" s="203"/>
      <c r="BJ368" s="203"/>
      <c r="BK368" s="203"/>
      <c r="BL368" s="203"/>
      <c r="BM368" s="203"/>
      <c r="BN368" s="203"/>
      <c r="BO368" s="203"/>
      <c r="BP368" s="203"/>
      <c r="BQ368" s="203"/>
      <c r="BR368" s="154">
        <f t="shared" si="596"/>
        <v>450.6</v>
      </c>
    </row>
    <row r="369" spans="2:70" ht="25.8" thickBot="1" x14ac:dyDescent="0.65">
      <c r="B369" s="1" t="s">
        <v>447</v>
      </c>
      <c r="C369" s="2" t="s">
        <v>19</v>
      </c>
      <c r="D369" s="18">
        <v>45419</v>
      </c>
      <c r="E369" s="3">
        <v>0</v>
      </c>
      <c r="F369" s="4">
        <f t="shared" ref="F369" si="600">+E369*$C$1</f>
        <v>0</v>
      </c>
      <c r="G369" s="4">
        <f t="shared" ref="G369" si="601">+BR369</f>
        <v>0</v>
      </c>
      <c r="H369" s="42">
        <f t="shared" ref="H369" si="602">+F369+G369</f>
        <v>0</v>
      </c>
      <c r="I369" s="77">
        <v>15</v>
      </c>
      <c r="J369" s="89">
        <v>15</v>
      </c>
      <c r="K369" s="7"/>
      <c r="L369" s="41">
        <v>46149</v>
      </c>
      <c r="M369" s="37"/>
      <c r="N369" s="9" t="s">
        <v>309</v>
      </c>
      <c r="W369" s="1" t="s">
        <v>447</v>
      </c>
      <c r="X369" s="50">
        <v>0</v>
      </c>
      <c r="Y369" s="48">
        <v>0</v>
      </c>
      <c r="Z369" s="49">
        <v>0</v>
      </c>
      <c r="AA369" s="49">
        <v>0</v>
      </c>
      <c r="AB369" s="49">
        <v>0</v>
      </c>
      <c r="AC369" s="31">
        <v>0</v>
      </c>
      <c r="AD369" s="28">
        <f t="shared" ref="AD369" si="603">+AC369-AB369</f>
        <v>0</v>
      </c>
      <c r="AE369" s="52">
        <v>0</v>
      </c>
      <c r="AF369" s="52">
        <v>0</v>
      </c>
      <c r="AG369" s="49">
        <v>0</v>
      </c>
      <c r="AH369" s="22">
        <f t="shared" ref="AH369" si="604">+AD369+(AE369+AF369)-AG369</f>
        <v>0</v>
      </c>
      <c r="AI369" s="52">
        <v>0</v>
      </c>
      <c r="AJ369" s="52">
        <v>0</v>
      </c>
      <c r="AK369" s="49">
        <v>0</v>
      </c>
      <c r="AL369" s="31">
        <f t="shared" ref="AL369" si="605">+AH369+AI369+AJ369-AK369</f>
        <v>0</v>
      </c>
      <c r="AM369" s="52">
        <v>0</v>
      </c>
      <c r="AN369" s="52">
        <v>0</v>
      </c>
      <c r="AO369" s="72">
        <v>0</v>
      </c>
      <c r="AP369" s="74">
        <f t="shared" ref="AP369" si="606">+AL369+AM369+AN369-AO369</f>
        <v>0</v>
      </c>
      <c r="AQ369" s="76">
        <v>0</v>
      </c>
      <c r="AR369" s="76">
        <v>0</v>
      </c>
      <c r="AS369" s="74">
        <v>0</v>
      </c>
      <c r="AT369" s="74">
        <f t="shared" ref="AT369" si="607">+AP369+AQ369+AR369-AS369</f>
        <v>0</v>
      </c>
      <c r="AU369" s="73">
        <f t="shared" ref="AU369" si="608">+(0)+(0)+(0)+(0)</f>
        <v>0</v>
      </c>
      <c r="AV369" s="73">
        <f t="shared" ref="AV369" si="609">+(0)+(0)+(0)+(0)+(0)+(0)+(0)+(0)</f>
        <v>0</v>
      </c>
      <c r="AW369" s="73">
        <v>0</v>
      </c>
      <c r="AX369" s="73">
        <f t="shared" ref="AX369" si="610">+AT369+AU369+AV369-AW369</f>
        <v>0</v>
      </c>
      <c r="AY369" s="109">
        <f t="shared" si="241"/>
        <v>0</v>
      </c>
      <c r="AZ369" s="109">
        <f t="shared" si="244"/>
        <v>0</v>
      </c>
      <c r="BA369" s="153">
        <v>0</v>
      </c>
      <c r="BB369" s="153">
        <f t="shared" ref="BB369" si="611">(AX369+AY369+AZ369)-BA369</f>
        <v>0</v>
      </c>
      <c r="BC369" s="203"/>
      <c r="BD369" s="203"/>
      <c r="BE369" s="203"/>
      <c r="BF369" s="203"/>
      <c r="BG369" s="203"/>
      <c r="BH369" s="203"/>
      <c r="BI369" s="203"/>
      <c r="BJ369" s="203"/>
      <c r="BK369" s="203"/>
      <c r="BL369" s="203"/>
      <c r="BM369" s="203"/>
      <c r="BN369" s="203"/>
      <c r="BO369" s="203"/>
      <c r="BP369" s="203"/>
      <c r="BQ369" s="203"/>
      <c r="BR369" s="154">
        <f t="shared" si="596"/>
        <v>0</v>
      </c>
    </row>
    <row r="370" spans="2:70" ht="25.8" thickBot="1" x14ac:dyDescent="0.65">
      <c r="B370" s="1" t="s">
        <v>363</v>
      </c>
      <c r="C370" s="2" t="s">
        <v>20</v>
      </c>
      <c r="D370" s="13">
        <v>44858</v>
      </c>
      <c r="E370" s="3">
        <v>1</v>
      </c>
      <c r="F370" s="4">
        <f>+E370*$C$1</f>
        <v>533.33000000000004</v>
      </c>
      <c r="G370" s="4">
        <f>+BR370</f>
        <v>450</v>
      </c>
      <c r="H370" s="42">
        <f>+F370+G370</f>
        <v>983.33</v>
      </c>
      <c r="I370" s="77">
        <v>14</v>
      </c>
      <c r="J370" s="89">
        <v>14</v>
      </c>
      <c r="K370" s="7"/>
      <c r="L370" s="79">
        <v>46319</v>
      </c>
      <c r="M370" s="37"/>
      <c r="N370" s="9" t="s">
        <v>309</v>
      </c>
      <c r="W370" s="1" t="s">
        <v>363</v>
      </c>
      <c r="X370" s="50">
        <v>0</v>
      </c>
      <c r="Y370" s="48">
        <v>0</v>
      </c>
      <c r="Z370" s="49">
        <v>0</v>
      </c>
      <c r="AA370" s="49">
        <v>0</v>
      </c>
      <c r="AB370" s="49">
        <v>0</v>
      </c>
      <c r="AC370" s="31">
        <v>0</v>
      </c>
      <c r="AD370" s="28">
        <v>0</v>
      </c>
      <c r="AE370" s="52">
        <v>0</v>
      </c>
      <c r="AF370" s="52">
        <v>0</v>
      </c>
      <c r="AG370" s="49">
        <v>0</v>
      </c>
      <c r="AH370" s="22">
        <f>+AD370+(AE370+AF370)-AG370</f>
        <v>0</v>
      </c>
      <c r="AI370" s="52">
        <v>0</v>
      </c>
      <c r="AJ370" s="52">
        <v>0</v>
      </c>
      <c r="AK370" s="49">
        <v>0</v>
      </c>
      <c r="AL370" s="69">
        <f>+AH370+AI370+AJ370-AK370</f>
        <v>0</v>
      </c>
      <c r="AM370" s="52">
        <v>0</v>
      </c>
      <c r="AN370" s="52">
        <v>0</v>
      </c>
      <c r="AO370" s="85">
        <v>0</v>
      </c>
      <c r="AP370" s="84">
        <f>+AL370+AM370+AN370-AO370</f>
        <v>0</v>
      </c>
      <c r="AQ370" s="76">
        <f>+(0)+(0)+(0)+(0)+(0)+(0)</f>
        <v>0</v>
      </c>
      <c r="AR370" s="76">
        <f>+(0)+(561.6)+(0)+(0)+(0)+(0)</f>
        <v>561.6</v>
      </c>
      <c r="AS370" s="74">
        <v>150</v>
      </c>
      <c r="AT370" s="84">
        <f>+AP370+AQ370+AR370-AS370</f>
        <v>411.6</v>
      </c>
      <c r="AU370" s="73">
        <f>+(0)+(0)+(0)+(198)</f>
        <v>198</v>
      </c>
      <c r="AV370" s="73">
        <f>+(0)+(0)+(96)+(0)+(0)+(0)+(0)+(0)</f>
        <v>96</v>
      </c>
      <c r="AW370" s="73">
        <v>150</v>
      </c>
      <c r="AX370" s="73">
        <f t="shared" ref="AX370:AX375" si="612">+AT370+AU370+AV370-AW370</f>
        <v>555.6</v>
      </c>
      <c r="AY370" s="109">
        <f>+(0)+(0)+(0)+(0)</f>
        <v>0</v>
      </c>
      <c r="AZ370" s="109">
        <f>+(0)+(0)+(0)+(0)+(0)+(0)+(0)+(0)</f>
        <v>0</v>
      </c>
      <c r="BA370" s="61">
        <v>150</v>
      </c>
      <c r="BB370" s="61">
        <f t="shared" ref="BB370:BB375" si="613">(AX370+AY370+AZ370)-BA370</f>
        <v>405.6</v>
      </c>
      <c r="BC370" s="88"/>
      <c r="BD370" s="88"/>
      <c r="BE370" s="88"/>
      <c r="BF370" s="88"/>
      <c r="BG370" s="88"/>
      <c r="BH370" s="88"/>
      <c r="BI370" s="88"/>
      <c r="BJ370" s="88"/>
      <c r="BK370" s="88"/>
      <c r="BL370" s="88"/>
      <c r="BM370" s="88"/>
      <c r="BN370" s="88"/>
      <c r="BO370" s="88"/>
      <c r="BP370" s="88"/>
      <c r="BQ370" s="88"/>
      <c r="BR370" s="175">
        <f t="shared" si="596"/>
        <v>450</v>
      </c>
    </row>
    <row r="371" spans="2:70" ht="25.8" thickBot="1" x14ac:dyDescent="0.65">
      <c r="B371" s="1" t="s">
        <v>390</v>
      </c>
      <c r="C371" s="2" t="s">
        <v>23</v>
      </c>
      <c r="D371" s="18">
        <v>44973</v>
      </c>
      <c r="E371" s="3">
        <v>1</v>
      </c>
      <c r="F371" s="4">
        <f t="shared" ref="F371" si="614">+E371*$C$1</f>
        <v>533.33000000000004</v>
      </c>
      <c r="G371" s="4">
        <f t="shared" ref="G371" si="615">+BR371</f>
        <v>324</v>
      </c>
      <c r="H371" s="42">
        <f t="shared" ref="H371" si="616">+F371+G371</f>
        <v>857.33</v>
      </c>
      <c r="I371" s="77">
        <v>14</v>
      </c>
      <c r="J371" s="89">
        <v>14</v>
      </c>
      <c r="K371" s="177" t="s">
        <v>307</v>
      </c>
      <c r="L371" s="82">
        <v>46434</v>
      </c>
      <c r="M371" s="37"/>
      <c r="N371" s="9" t="s">
        <v>309</v>
      </c>
      <c r="W371" s="1" t="s">
        <v>390</v>
      </c>
      <c r="X371" s="50">
        <v>0</v>
      </c>
      <c r="Y371" s="48">
        <v>0</v>
      </c>
      <c r="Z371" s="49">
        <v>0</v>
      </c>
      <c r="AA371" s="49">
        <v>0</v>
      </c>
      <c r="AB371" s="49">
        <v>0</v>
      </c>
      <c r="AC371" s="31">
        <v>0</v>
      </c>
      <c r="AD371" s="28">
        <f>+AC371-AB371</f>
        <v>0</v>
      </c>
      <c r="AE371" s="52">
        <v>0</v>
      </c>
      <c r="AF371" s="52">
        <v>0</v>
      </c>
      <c r="AG371" s="49">
        <v>0</v>
      </c>
      <c r="AH371" s="22">
        <f>+AD371+(AE371+AF371)-AG371</f>
        <v>0</v>
      </c>
      <c r="AI371" s="52">
        <v>0</v>
      </c>
      <c r="AJ371" s="52">
        <v>0</v>
      </c>
      <c r="AK371" s="49">
        <v>0</v>
      </c>
      <c r="AL371" s="31">
        <f>+AH371+AI371+AJ371-AK371</f>
        <v>0</v>
      </c>
      <c r="AM371" s="52">
        <v>0</v>
      </c>
      <c r="AN371" s="52">
        <v>0</v>
      </c>
      <c r="AO371" s="72">
        <v>0</v>
      </c>
      <c r="AP371" s="74">
        <f>+AL371+AM371+AN371-AO371</f>
        <v>0</v>
      </c>
      <c r="AQ371" s="76">
        <f>+(0)+(0)+(0)+(0)+(84)+(0)</f>
        <v>84</v>
      </c>
      <c r="AR371" s="76">
        <f>+(0)+(0)+(0)+(0)+(0)+(0)</f>
        <v>0</v>
      </c>
      <c r="AS371" s="74">
        <v>84</v>
      </c>
      <c r="AT371" s="74">
        <f>+AP371+AQ371+AR371-AS371</f>
        <v>0</v>
      </c>
      <c r="AU371" s="73">
        <f>+(0)+(0)+(0)+(196.2)</f>
        <v>196.2</v>
      </c>
      <c r="AV371" s="73">
        <f>+(0)+(0)+(0)+(0)+(78)+(0)+(0)+(0)</f>
        <v>78</v>
      </c>
      <c r="AW371" s="73">
        <v>120</v>
      </c>
      <c r="AX371" s="73">
        <f t="shared" si="612"/>
        <v>154.19999999999999</v>
      </c>
      <c r="AY371" s="109">
        <f>+(0)+(0)+(0)+(54)</f>
        <v>54</v>
      </c>
      <c r="AZ371" s="109">
        <f>+(0)+(0)+(0)+(0)+(0)+(0)+(0)+(0)</f>
        <v>0</v>
      </c>
      <c r="BA371" s="61">
        <v>120</v>
      </c>
      <c r="BB371" s="61">
        <f t="shared" si="613"/>
        <v>88.199999999999989</v>
      </c>
      <c r="BC371" s="88"/>
      <c r="BD371" s="88"/>
      <c r="BE371" s="88"/>
      <c r="BF371" s="88"/>
      <c r="BG371" s="88"/>
      <c r="BH371" s="88"/>
      <c r="BI371" s="88"/>
      <c r="BJ371" s="88"/>
      <c r="BK371" s="88"/>
      <c r="BL371" s="88"/>
      <c r="BM371" s="88"/>
      <c r="BN371" s="88"/>
      <c r="BO371" s="88"/>
      <c r="BP371" s="88"/>
      <c r="BQ371" s="88"/>
      <c r="BR371" s="175">
        <f t="shared" si="596"/>
        <v>324</v>
      </c>
    </row>
    <row r="372" spans="2:70" ht="25.8" thickBot="1" x14ac:dyDescent="0.65">
      <c r="B372" s="1" t="s">
        <v>398</v>
      </c>
      <c r="C372" s="2" t="s">
        <v>23</v>
      </c>
      <c r="D372" s="18">
        <v>45061</v>
      </c>
      <c r="E372" s="3">
        <v>0</v>
      </c>
      <c r="F372" s="4">
        <f t="shared" ref="F372" si="617">+E372*$C$1</f>
        <v>0</v>
      </c>
      <c r="G372" s="4">
        <f t="shared" ref="G372" si="618">+BR372</f>
        <v>0</v>
      </c>
      <c r="H372" s="42">
        <f t="shared" ref="H372" si="619">+F372+G372</f>
        <v>0</v>
      </c>
      <c r="I372" s="77">
        <v>15</v>
      </c>
      <c r="J372" s="89">
        <v>15</v>
      </c>
      <c r="K372" s="7"/>
      <c r="L372" s="41">
        <v>45792</v>
      </c>
      <c r="M372" s="37"/>
      <c r="N372" s="9" t="s">
        <v>309</v>
      </c>
      <c r="W372" s="1" t="s">
        <v>398</v>
      </c>
      <c r="X372" s="50">
        <v>0</v>
      </c>
      <c r="Y372" s="48">
        <v>0</v>
      </c>
      <c r="Z372" s="49">
        <v>0</v>
      </c>
      <c r="AA372" s="49">
        <v>0</v>
      </c>
      <c r="AB372" s="49">
        <v>0</v>
      </c>
      <c r="AC372" s="31">
        <v>0</v>
      </c>
      <c r="AD372" s="28">
        <f>+AC372-AB372</f>
        <v>0</v>
      </c>
      <c r="AE372" s="52">
        <v>0</v>
      </c>
      <c r="AF372" s="52">
        <v>0</v>
      </c>
      <c r="AG372" s="49">
        <v>0</v>
      </c>
      <c r="AH372" s="22">
        <f>+AD372+(AE372+AF372)-AG372</f>
        <v>0</v>
      </c>
      <c r="AI372" s="52">
        <v>0</v>
      </c>
      <c r="AJ372" s="52">
        <v>0</v>
      </c>
      <c r="AK372" s="49">
        <v>0</v>
      </c>
      <c r="AL372" s="31">
        <f>+AH372+AI372+AJ372-AK372</f>
        <v>0</v>
      </c>
      <c r="AM372" s="52">
        <v>0</v>
      </c>
      <c r="AN372" s="52">
        <v>0</v>
      </c>
      <c r="AO372" s="72">
        <v>0</v>
      </c>
      <c r="AP372" s="74">
        <f>+AL372+AM372+AN372-AO372</f>
        <v>0</v>
      </c>
      <c r="AQ372" s="76">
        <f t="shared" si="49"/>
        <v>0</v>
      </c>
      <c r="AR372" s="76">
        <f t="shared" si="49"/>
        <v>0</v>
      </c>
      <c r="AS372" s="74">
        <v>0</v>
      </c>
      <c r="AT372" s="74">
        <f>+AP372+AQ372+AR372-AS372</f>
        <v>0</v>
      </c>
      <c r="AU372" s="73">
        <f t="shared" si="44"/>
        <v>0</v>
      </c>
      <c r="AV372" s="73">
        <f t="shared" si="30"/>
        <v>0</v>
      </c>
      <c r="AW372" s="73">
        <v>0</v>
      </c>
      <c r="AX372" s="73">
        <f t="shared" si="612"/>
        <v>0</v>
      </c>
      <c r="AY372" s="109">
        <f>+(0)+(0)+(0)+(0)</f>
        <v>0</v>
      </c>
      <c r="AZ372" s="109">
        <f>+(0)+(0)+(0)+(0)+(0)+(0)+(0)+(0)</f>
        <v>0</v>
      </c>
      <c r="BA372" s="61">
        <v>0</v>
      </c>
      <c r="BB372" s="61">
        <f t="shared" si="613"/>
        <v>0</v>
      </c>
      <c r="BC372" s="88"/>
      <c r="BD372" s="88"/>
      <c r="BE372" s="88"/>
      <c r="BF372" s="88"/>
      <c r="BG372" s="88"/>
      <c r="BH372" s="88"/>
      <c r="BI372" s="88"/>
      <c r="BJ372" s="88"/>
      <c r="BK372" s="88"/>
      <c r="BL372" s="88"/>
      <c r="BM372" s="88"/>
      <c r="BN372" s="88"/>
      <c r="BO372" s="88"/>
      <c r="BP372" s="88"/>
      <c r="BQ372" s="88"/>
      <c r="BR372" s="175">
        <f t="shared" si="596"/>
        <v>0</v>
      </c>
    </row>
    <row r="373" spans="2:70" ht="25.8" thickBot="1" x14ac:dyDescent="0.65">
      <c r="B373" s="1" t="s">
        <v>402</v>
      </c>
      <c r="C373" s="2" t="s">
        <v>20</v>
      </c>
      <c r="D373" s="13">
        <v>45078</v>
      </c>
      <c r="E373" s="3">
        <v>4</v>
      </c>
      <c r="F373" s="4">
        <f t="shared" ref="F373" si="620">+E373*$C$1</f>
        <v>2133.3200000000002</v>
      </c>
      <c r="G373" s="4">
        <f t="shared" ref="G373" si="621">+BR373</f>
        <v>1080</v>
      </c>
      <c r="H373" s="42">
        <f t="shared" ref="H373" si="622">+F373+G373</f>
        <v>3213.32</v>
      </c>
      <c r="I373" s="77">
        <v>12</v>
      </c>
      <c r="J373" s="89">
        <v>12</v>
      </c>
      <c r="K373" s="7"/>
      <c r="L373" s="41">
        <v>45761</v>
      </c>
      <c r="M373" s="37"/>
      <c r="N373" s="9" t="s">
        <v>309</v>
      </c>
      <c r="W373" s="1" t="s">
        <v>402</v>
      </c>
      <c r="X373" s="68">
        <v>780</v>
      </c>
      <c r="Y373" s="48">
        <v>0</v>
      </c>
      <c r="Z373" s="49">
        <v>0</v>
      </c>
      <c r="AA373" s="49">
        <v>0</v>
      </c>
      <c r="AB373" s="49">
        <v>0</v>
      </c>
      <c r="AC373" s="31">
        <v>0</v>
      </c>
      <c r="AD373" s="28">
        <f>+AC373-AB373</f>
        <v>0</v>
      </c>
      <c r="AE373" s="52">
        <v>0</v>
      </c>
      <c r="AF373" s="52">
        <v>0</v>
      </c>
      <c r="AG373" s="49">
        <v>0</v>
      </c>
      <c r="AH373" s="22">
        <f>+AD373+(AE373+AF373)-AG373</f>
        <v>0</v>
      </c>
      <c r="AI373" s="52">
        <v>0</v>
      </c>
      <c r="AJ373" s="52">
        <v>0</v>
      </c>
      <c r="AK373" s="49">
        <v>0</v>
      </c>
      <c r="AL373" s="31">
        <f>+AH373+AI373+AJ373-AK373</f>
        <v>0</v>
      </c>
      <c r="AM373" s="52">
        <v>0</v>
      </c>
      <c r="AN373" s="52">
        <v>0</v>
      </c>
      <c r="AO373" s="72">
        <v>0</v>
      </c>
      <c r="AP373" s="74">
        <f>+AL373+AM373+AN373-AO373</f>
        <v>0</v>
      </c>
      <c r="AQ373" s="76">
        <f t="shared" si="83"/>
        <v>0</v>
      </c>
      <c r="AR373" s="76">
        <f t="shared" si="83"/>
        <v>0</v>
      </c>
      <c r="AS373" s="74">
        <v>0</v>
      </c>
      <c r="AT373" s="74">
        <f>+AP373+AQ373+AR373-AS373</f>
        <v>0</v>
      </c>
      <c r="AU373" s="73">
        <f t="shared" si="104"/>
        <v>0</v>
      </c>
      <c r="AV373" s="73">
        <f>+(0)+(312)+(0)+(0)+(0)+(0)+(30)+(0)</f>
        <v>342</v>
      </c>
      <c r="AW373" s="73">
        <v>150</v>
      </c>
      <c r="AX373" s="73">
        <f t="shared" si="612"/>
        <v>192</v>
      </c>
      <c r="AY373" s="109">
        <f t="shared" si="123"/>
        <v>0</v>
      </c>
      <c r="AZ373" s="109">
        <f t="shared" si="111"/>
        <v>0</v>
      </c>
      <c r="BA373" s="61">
        <v>150</v>
      </c>
      <c r="BB373" s="61">
        <f t="shared" si="613"/>
        <v>42</v>
      </c>
      <c r="BC373" s="88"/>
      <c r="BD373" s="88"/>
      <c r="BE373" s="88"/>
      <c r="BF373" s="88"/>
      <c r="BG373" s="88"/>
      <c r="BH373" s="88"/>
      <c r="BI373" s="88"/>
      <c r="BJ373" s="88"/>
      <c r="BK373" s="88"/>
      <c r="BL373" s="88"/>
      <c r="BM373" s="88"/>
      <c r="BN373" s="88"/>
      <c r="BO373" s="88"/>
      <c r="BP373" s="88"/>
      <c r="BQ373" s="88"/>
      <c r="BR373" s="175">
        <f t="shared" si="596"/>
        <v>1080</v>
      </c>
    </row>
    <row r="374" spans="2:70" ht="25.8" thickBot="1" x14ac:dyDescent="0.65">
      <c r="B374" s="1" t="s">
        <v>450</v>
      </c>
      <c r="C374" s="2" t="s">
        <v>20</v>
      </c>
      <c r="D374" s="18">
        <v>45455</v>
      </c>
      <c r="E374" s="3">
        <v>0</v>
      </c>
      <c r="F374" s="4">
        <f t="shared" ref="F374" si="623">+E374*$C$1</f>
        <v>0</v>
      </c>
      <c r="G374" s="4">
        <f t="shared" ref="G374" si="624">+BR374</f>
        <v>0</v>
      </c>
      <c r="H374" s="42">
        <f t="shared" ref="H374" si="625">+F374+G374</f>
        <v>0</v>
      </c>
      <c r="I374" s="77">
        <v>15</v>
      </c>
      <c r="J374" s="89">
        <v>15</v>
      </c>
      <c r="K374" s="7"/>
      <c r="L374" s="39">
        <v>46185</v>
      </c>
      <c r="M374" s="37"/>
      <c r="N374" s="9" t="s">
        <v>309</v>
      </c>
      <c r="W374" s="1" t="s">
        <v>450</v>
      </c>
      <c r="X374" s="50"/>
      <c r="Y374" s="48"/>
      <c r="Z374" s="49"/>
      <c r="AA374" s="49"/>
      <c r="AB374" s="49"/>
      <c r="AC374" s="31"/>
      <c r="AD374" s="28"/>
      <c r="AE374" s="52"/>
      <c r="AF374" s="52"/>
      <c r="AG374" s="49"/>
      <c r="AH374" s="22"/>
      <c r="AI374" s="52"/>
      <c r="AJ374" s="52"/>
      <c r="AK374" s="49"/>
      <c r="AL374" s="69"/>
      <c r="AM374" s="52"/>
      <c r="AN374" s="52"/>
      <c r="AO374" s="72"/>
      <c r="AP374" s="74"/>
      <c r="AQ374" s="76"/>
      <c r="AR374" s="76"/>
      <c r="AS374" s="74"/>
      <c r="AT374" s="74"/>
      <c r="AU374" s="73"/>
      <c r="AV374" s="73"/>
      <c r="AW374" s="73">
        <v>0</v>
      </c>
      <c r="AX374" s="73">
        <f t="shared" si="612"/>
        <v>0</v>
      </c>
      <c r="AY374" s="109">
        <f t="shared" si="123"/>
        <v>0</v>
      </c>
      <c r="AZ374" s="109">
        <f t="shared" si="111"/>
        <v>0</v>
      </c>
      <c r="BA374" s="61">
        <v>0</v>
      </c>
      <c r="BB374" s="61">
        <f t="shared" si="613"/>
        <v>0</v>
      </c>
      <c r="BC374" s="88"/>
      <c r="BD374" s="88"/>
      <c r="BE374" s="88"/>
      <c r="BF374" s="88"/>
      <c r="BG374" s="88"/>
      <c r="BH374" s="88"/>
      <c r="BI374" s="88"/>
      <c r="BJ374" s="88"/>
      <c r="BK374" s="88"/>
      <c r="BL374" s="88"/>
      <c r="BM374" s="88"/>
      <c r="BN374" s="88"/>
      <c r="BO374" s="88"/>
      <c r="BP374" s="88"/>
      <c r="BQ374" s="88"/>
      <c r="BR374" s="175">
        <f t="shared" si="596"/>
        <v>0</v>
      </c>
    </row>
    <row r="375" spans="2:70" ht="25.8" thickBot="1" x14ac:dyDescent="0.65">
      <c r="B375" s="1" t="s">
        <v>387</v>
      </c>
      <c r="C375" s="2" t="s">
        <v>21</v>
      </c>
      <c r="D375" s="13">
        <v>44927</v>
      </c>
      <c r="E375" s="3">
        <v>1</v>
      </c>
      <c r="F375" s="4">
        <f t="shared" ref="F375" si="626">+E375*$C$1</f>
        <v>533.33000000000004</v>
      </c>
      <c r="G375" s="4">
        <f>+BR375</f>
        <v>693</v>
      </c>
      <c r="H375" s="42">
        <f>+F375+G375</f>
        <v>1226.33</v>
      </c>
      <c r="I375" s="77">
        <v>14</v>
      </c>
      <c r="J375" s="89">
        <v>14</v>
      </c>
      <c r="K375" s="177" t="s">
        <v>307</v>
      </c>
      <c r="L375" s="39">
        <v>46388</v>
      </c>
      <c r="M375" s="37"/>
      <c r="N375" s="9" t="s">
        <v>309</v>
      </c>
      <c r="W375" s="1" t="s">
        <v>387</v>
      </c>
      <c r="X375" s="68">
        <v>243</v>
      </c>
      <c r="Y375" s="48">
        <v>0</v>
      </c>
      <c r="Z375" s="49">
        <v>0</v>
      </c>
      <c r="AA375" s="49">
        <v>0</v>
      </c>
      <c r="AB375" s="49">
        <v>0</v>
      </c>
      <c r="AC375" s="31">
        <v>0</v>
      </c>
      <c r="AD375" s="28">
        <f>+AC375-AB375</f>
        <v>0</v>
      </c>
      <c r="AE375" s="52">
        <v>0</v>
      </c>
      <c r="AF375" s="52">
        <v>0</v>
      </c>
      <c r="AG375" s="49">
        <v>0</v>
      </c>
      <c r="AH375" s="22">
        <f>+AD375+(AE375+AF375)-AG375</f>
        <v>0</v>
      </c>
      <c r="AI375" s="52">
        <v>0</v>
      </c>
      <c r="AJ375" s="52">
        <v>0</v>
      </c>
      <c r="AK375" s="49">
        <v>0</v>
      </c>
      <c r="AL375" s="31">
        <f>+AH375+AI375+AJ375-AK375</f>
        <v>0</v>
      </c>
      <c r="AM375" s="52">
        <f t="shared" si="82"/>
        <v>0</v>
      </c>
      <c r="AN375" s="52">
        <f t="shared" si="82"/>
        <v>0</v>
      </c>
      <c r="AO375" s="72">
        <v>0</v>
      </c>
      <c r="AP375" s="74">
        <f>+AL375+AM375+AN375-AO375</f>
        <v>0</v>
      </c>
      <c r="AQ375" s="76">
        <f>+(0)+(0)+(0)+(0)+(54)+(0)</f>
        <v>54</v>
      </c>
      <c r="AR375" s="76">
        <f>+(0)+(569.4)+(0)+(0)+(0)+(0)</f>
        <v>569.4</v>
      </c>
      <c r="AS375" s="74">
        <v>150</v>
      </c>
      <c r="AT375" s="74">
        <f t="shared" ref="AT375" si="627">+AP375+AQ375+AR375-AS375</f>
        <v>473.4</v>
      </c>
      <c r="AU375" s="73">
        <f>+(0)+(0)+(0)+(132)</f>
        <v>132</v>
      </c>
      <c r="AV375" s="73">
        <f>+(0)+(0)+(96)+(0)+(0)+(0)+(0)+(0)</f>
        <v>96</v>
      </c>
      <c r="AW375" s="73">
        <v>150</v>
      </c>
      <c r="AX375" s="73">
        <f t="shared" si="612"/>
        <v>551.4</v>
      </c>
      <c r="AY375" s="109">
        <f t="shared" si="241"/>
        <v>0</v>
      </c>
      <c r="AZ375" s="109">
        <f t="shared" si="244"/>
        <v>0</v>
      </c>
      <c r="BA375" s="61">
        <v>150</v>
      </c>
      <c r="BB375" s="61">
        <f t="shared" si="613"/>
        <v>401.4</v>
      </c>
      <c r="BC375" s="88"/>
      <c r="BD375" s="88"/>
      <c r="BE375" s="88"/>
      <c r="BF375" s="88"/>
      <c r="BG375" s="88"/>
      <c r="BH375" s="88"/>
      <c r="BI375" s="88"/>
      <c r="BJ375" s="88"/>
      <c r="BK375" s="88"/>
      <c r="BL375" s="88"/>
      <c r="BM375" s="88"/>
      <c r="BN375" s="88"/>
      <c r="BO375" s="88"/>
      <c r="BP375" s="88"/>
      <c r="BQ375" s="88"/>
      <c r="BR375" s="175">
        <f t="shared" si="596"/>
        <v>693</v>
      </c>
    </row>
    <row r="376" spans="2:70" ht="25.8" thickBot="1" x14ac:dyDescent="0.65">
      <c r="B376" s="1" t="s">
        <v>461</v>
      </c>
      <c r="C376" s="2" t="s">
        <v>23</v>
      </c>
      <c r="D376" s="18">
        <v>45601</v>
      </c>
      <c r="E376" s="3">
        <v>0</v>
      </c>
      <c r="F376" s="4">
        <f t="shared" ref="F376" si="628">+E376*$C$1</f>
        <v>0</v>
      </c>
      <c r="G376" s="4">
        <f t="shared" ref="G376" si="629">+BR376</f>
        <v>0</v>
      </c>
      <c r="H376" s="42">
        <f t="shared" ref="H376" si="630">+F376+G376</f>
        <v>0</v>
      </c>
      <c r="I376" s="77">
        <v>15</v>
      </c>
      <c r="J376" s="89">
        <v>15</v>
      </c>
      <c r="K376" s="7"/>
      <c r="L376" s="39">
        <v>46331</v>
      </c>
      <c r="M376" s="37"/>
      <c r="N376" s="9" t="s">
        <v>309</v>
      </c>
      <c r="W376" s="1" t="s">
        <v>461</v>
      </c>
      <c r="X376" s="50"/>
      <c r="Y376" s="48"/>
      <c r="Z376" s="49"/>
      <c r="AA376" s="49"/>
      <c r="AB376" s="49"/>
      <c r="AC376" s="31"/>
      <c r="AD376" s="28"/>
      <c r="AE376" s="52"/>
      <c r="AF376" s="52"/>
      <c r="AG376" s="49"/>
      <c r="AH376" s="22"/>
      <c r="AI376" s="52"/>
      <c r="AJ376" s="52"/>
      <c r="AK376" s="49"/>
      <c r="AL376" s="31"/>
      <c r="AM376" s="52"/>
      <c r="AN376" s="52"/>
      <c r="AO376" s="72"/>
      <c r="AP376" s="74"/>
      <c r="AQ376" s="76"/>
      <c r="AR376" s="76"/>
      <c r="AS376" s="74"/>
      <c r="AT376" s="74"/>
      <c r="AU376" s="73"/>
      <c r="AV376" s="73"/>
      <c r="AW376" s="73"/>
      <c r="AX376" s="73"/>
      <c r="AY376" s="109">
        <f t="shared" si="241"/>
        <v>0</v>
      </c>
      <c r="AZ376" s="109">
        <f t="shared" si="244"/>
        <v>0</v>
      </c>
      <c r="BA376" s="61">
        <v>0</v>
      </c>
      <c r="BB376" s="61">
        <f t="shared" ref="BB376" si="631">(AX376+AY376+AZ376)-BA376</f>
        <v>0</v>
      </c>
      <c r="BC376" s="88"/>
      <c r="BD376" s="88"/>
      <c r="BE376" s="88"/>
      <c r="BF376" s="88"/>
      <c r="BG376" s="88"/>
      <c r="BH376" s="88"/>
      <c r="BI376" s="88"/>
      <c r="BJ376" s="88"/>
      <c r="BK376" s="88"/>
      <c r="BL376" s="88"/>
      <c r="BM376" s="88"/>
      <c r="BN376" s="88"/>
      <c r="BO376" s="88"/>
      <c r="BP376" s="88"/>
      <c r="BQ376" s="88"/>
      <c r="BR376" s="175">
        <f t="shared" si="596"/>
        <v>0</v>
      </c>
    </row>
    <row r="377" spans="2:70" ht="25.8" thickBot="1" x14ac:dyDescent="0.65">
      <c r="B377" s="1" t="s">
        <v>421</v>
      </c>
      <c r="C377" s="2" t="s">
        <v>20</v>
      </c>
      <c r="D377" s="13">
        <v>45250</v>
      </c>
      <c r="E377" s="3">
        <v>0</v>
      </c>
      <c r="F377" s="4">
        <f>+E377*$C$1</f>
        <v>0</v>
      </c>
      <c r="G377" s="4">
        <f t="shared" ref="G377" si="632">+BR377</f>
        <v>0</v>
      </c>
      <c r="H377" s="42">
        <f t="shared" ref="H377" si="633">+F377+G377</f>
        <v>0</v>
      </c>
      <c r="I377" s="77">
        <v>15</v>
      </c>
      <c r="J377" s="89">
        <v>15</v>
      </c>
      <c r="K377" s="7"/>
      <c r="L377" s="136" t="s">
        <v>442</v>
      </c>
      <c r="M377" s="7"/>
      <c r="N377" s="9" t="s">
        <v>309</v>
      </c>
      <c r="W377" s="1" t="s">
        <v>421</v>
      </c>
      <c r="X377" s="50">
        <v>0</v>
      </c>
      <c r="Y377" s="48">
        <v>0</v>
      </c>
      <c r="Z377" s="49">
        <v>0</v>
      </c>
      <c r="AA377" s="49">
        <v>0</v>
      </c>
      <c r="AB377" s="49">
        <v>0</v>
      </c>
      <c r="AC377" s="31">
        <v>0</v>
      </c>
      <c r="AD377" s="28">
        <f>+AC377-AB377</f>
        <v>0</v>
      </c>
      <c r="AE377" s="52">
        <v>0</v>
      </c>
      <c r="AF377" s="52">
        <v>0</v>
      </c>
      <c r="AG377" s="49">
        <v>0</v>
      </c>
      <c r="AH377" s="22">
        <f>+AD377+(AE377+AF377)-AG377</f>
        <v>0</v>
      </c>
      <c r="AI377" s="52">
        <v>0</v>
      </c>
      <c r="AJ377" s="52">
        <v>0</v>
      </c>
      <c r="AK377" s="49">
        <v>0</v>
      </c>
      <c r="AL377" s="31">
        <f>+AH377+AI377+AJ377-AK377</f>
        <v>0</v>
      </c>
      <c r="AM377" s="52">
        <v>0</v>
      </c>
      <c r="AN377" s="52">
        <v>0</v>
      </c>
      <c r="AO377" s="72">
        <v>0</v>
      </c>
      <c r="AP377" s="74">
        <f>+AL377+AM377+AN377-AO377</f>
        <v>0</v>
      </c>
      <c r="AQ377" s="76">
        <v>0</v>
      </c>
      <c r="AR377" s="76">
        <v>0</v>
      </c>
      <c r="AS377" s="74">
        <v>0</v>
      </c>
      <c r="AT377" s="74">
        <f>+AP377+AQ377+AR377-AS377</f>
        <v>0</v>
      </c>
      <c r="AU377" s="73">
        <f t="shared" si="257"/>
        <v>0</v>
      </c>
      <c r="AV377" s="73">
        <f t="shared" si="266"/>
        <v>0</v>
      </c>
      <c r="AW377" s="73">
        <v>0</v>
      </c>
      <c r="AX377" s="73">
        <f t="shared" ref="AX377" si="634">+AT377+AU377+AV377-AW377</f>
        <v>0</v>
      </c>
      <c r="AY377" s="109">
        <f t="shared" si="241"/>
        <v>0</v>
      </c>
      <c r="AZ377" s="109">
        <f t="shared" si="244"/>
        <v>0</v>
      </c>
      <c r="BA377" s="61">
        <v>0</v>
      </c>
      <c r="BB377" s="61">
        <f>(AX377+AY377+AZ377)-BA377</f>
        <v>0</v>
      </c>
      <c r="BC377" s="88"/>
      <c r="BD377" s="88"/>
      <c r="BE377" s="88"/>
      <c r="BF377" s="88"/>
      <c r="BG377" s="88"/>
      <c r="BH377" s="88"/>
      <c r="BI377" s="88"/>
      <c r="BJ377" s="88"/>
      <c r="BK377" s="88"/>
      <c r="BL377" s="88"/>
      <c r="BM377" s="88"/>
      <c r="BN377" s="88"/>
      <c r="BO377" s="88"/>
      <c r="BP377" s="88"/>
      <c r="BQ377" s="88"/>
      <c r="BR377" s="175">
        <f t="shared" si="596"/>
        <v>0</v>
      </c>
    </row>
    <row r="378" spans="2:70" ht="25.8" thickBot="1" x14ac:dyDescent="0.65">
      <c r="B378" s="1" t="s">
        <v>369</v>
      </c>
      <c r="C378" s="2" t="s">
        <v>20</v>
      </c>
      <c r="D378" s="13">
        <v>44743</v>
      </c>
      <c r="E378" s="3">
        <v>1</v>
      </c>
      <c r="F378" s="4">
        <f t="shared" ref="F378" si="635">+E378*$C$1</f>
        <v>533.33000000000004</v>
      </c>
      <c r="G378" s="4">
        <f>+BR378</f>
        <v>385.8</v>
      </c>
      <c r="H378" s="42">
        <f t="shared" ref="H378" si="636">+F378+G378</f>
        <v>919.13000000000011</v>
      </c>
      <c r="I378" s="77">
        <v>14</v>
      </c>
      <c r="J378" s="89">
        <v>14</v>
      </c>
      <c r="K378" s="7"/>
      <c r="L378" s="41">
        <v>46204</v>
      </c>
      <c r="M378" s="37"/>
      <c r="N378" s="9" t="s">
        <v>309</v>
      </c>
      <c r="W378" s="1" t="s">
        <v>369</v>
      </c>
      <c r="X378" s="50">
        <v>0</v>
      </c>
      <c r="Y378" s="49">
        <v>0</v>
      </c>
      <c r="Z378" s="49">
        <v>0</v>
      </c>
      <c r="AA378" s="49">
        <v>0</v>
      </c>
      <c r="AB378" s="49">
        <v>0</v>
      </c>
      <c r="AC378" s="31">
        <v>0</v>
      </c>
      <c r="AD378" s="28">
        <f>+AC378-AB378</f>
        <v>0</v>
      </c>
      <c r="AE378" s="52">
        <v>0</v>
      </c>
      <c r="AF378" s="52">
        <v>0</v>
      </c>
      <c r="AG378" s="49">
        <v>0</v>
      </c>
      <c r="AH378" s="22">
        <f>+AD378+(AE378+AF378)-AG378</f>
        <v>0</v>
      </c>
      <c r="AI378" s="52">
        <v>0</v>
      </c>
      <c r="AJ378" s="52">
        <v>0</v>
      </c>
      <c r="AK378" s="49">
        <v>0</v>
      </c>
      <c r="AL378" s="31">
        <f>+AH378+AI378+AJ378-AK378</f>
        <v>0</v>
      </c>
      <c r="AM378" s="52">
        <f t="shared" si="339"/>
        <v>0</v>
      </c>
      <c r="AN378" s="52">
        <f>+(0)+(0)+(0)+(0)+(0)+(133.8)</f>
        <v>133.80000000000001</v>
      </c>
      <c r="AO378" s="72">
        <v>133.80000000000001</v>
      </c>
      <c r="AP378" s="74">
        <f>+AL378+AM378+AN378-AO378</f>
        <v>0</v>
      </c>
      <c r="AQ378" s="76">
        <f>+(0)+(0)+(0)+(78)+(0)+(0)</f>
        <v>78</v>
      </c>
      <c r="AR378" s="76">
        <f t="shared" si="340"/>
        <v>0</v>
      </c>
      <c r="AS378" s="74">
        <v>78</v>
      </c>
      <c r="AT378" s="74">
        <f>+AP378+AQ378+AR378-AS378</f>
        <v>0</v>
      </c>
      <c r="AU378" s="73">
        <f>+(0)+(120)+(0)+(0)</f>
        <v>120</v>
      </c>
      <c r="AV378" s="73">
        <f>+(0)+(0)+(0)+(0)+(54)+(0)+(0)+(0)</f>
        <v>54</v>
      </c>
      <c r="AW378" s="73">
        <v>150</v>
      </c>
      <c r="AX378" s="73">
        <f>+AT378+AU378+AV378-AW378</f>
        <v>24</v>
      </c>
      <c r="AY378" s="109">
        <f t="shared" si="241"/>
        <v>0</v>
      </c>
      <c r="AZ378" s="109">
        <f t="shared" si="244"/>
        <v>0</v>
      </c>
      <c r="BA378" s="61">
        <v>24</v>
      </c>
      <c r="BB378" s="61">
        <f>(AX378+AY378+AZ378)-BA378</f>
        <v>0</v>
      </c>
      <c r="BC378" s="88"/>
      <c r="BD378" s="88"/>
      <c r="BE378" s="88"/>
      <c r="BF378" s="88"/>
      <c r="BG378" s="88"/>
      <c r="BH378" s="88"/>
      <c r="BI378" s="88"/>
      <c r="BJ378" s="88"/>
      <c r="BK378" s="88"/>
      <c r="BL378" s="88"/>
      <c r="BM378" s="88"/>
      <c r="BN378" s="88"/>
      <c r="BO378" s="88"/>
      <c r="BP378" s="88"/>
      <c r="BQ378" s="88"/>
      <c r="BR378" s="175">
        <f t="shared" si="596"/>
        <v>385.8</v>
      </c>
    </row>
    <row r="379" spans="2:70" ht="25.8" thickBot="1" x14ac:dyDescent="0.65">
      <c r="B379" s="1" t="s">
        <v>473</v>
      </c>
      <c r="C379" s="2" t="s">
        <v>171</v>
      </c>
      <c r="D379" s="13">
        <v>45685</v>
      </c>
      <c r="E379" s="3">
        <v>0</v>
      </c>
      <c r="F379" s="4">
        <f t="shared" ref="F379" si="637">+E379*$C$1</f>
        <v>0</v>
      </c>
      <c r="G379" s="4">
        <f t="shared" ref="G379" si="638">+BR379</f>
        <v>0</v>
      </c>
      <c r="H379" s="42">
        <f t="shared" ref="H379" si="639">+F379+G379</f>
        <v>0</v>
      </c>
      <c r="I379" s="77">
        <v>15</v>
      </c>
      <c r="J379" s="89">
        <v>15</v>
      </c>
      <c r="K379" s="7"/>
      <c r="L379" s="39">
        <v>46415</v>
      </c>
      <c r="M379" s="37"/>
      <c r="N379" s="9" t="s">
        <v>309</v>
      </c>
      <c r="W379" s="1" t="s">
        <v>473</v>
      </c>
      <c r="X379" s="50"/>
      <c r="Y379" s="48"/>
      <c r="Z379" s="49"/>
      <c r="AA379" s="49"/>
      <c r="AB379" s="49"/>
      <c r="AC379" s="31"/>
      <c r="AD379" s="28"/>
      <c r="AE379" s="52"/>
      <c r="AF379" s="52"/>
      <c r="AG379" s="49"/>
      <c r="AH379" s="22"/>
      <c r="AI379" s="52"/>
      <c r="AJ379" s="52"/>
      <c r="AK379" s="49"/>
      <c r="AL379" s="31"/>
      <c r="AM379" s="52"/>
      <c r="AN379" s="52"/>
      <c r="AO379" s="72"/>
      <c r="AP379" s="74"/>
      <c r="AQ379" s="76"/>
      <c r="AR379" s="76"/>
      <c r="AS379" s="74"/>
      <c r="AT379" s="74"/>
      <c r="AU379" s="73"/>
      <c r="AV379" s="73"/>
      <c r="AW379" s="74"/>
      <c r="AX379" s="74"/>
      <c r="AY379" s="109">
        <f>+(0)+(0)+(0)+(0)</f>
        <v>0</v>
      </c>
      <c r="AZ379" s="109">
        <f>+(0)+(0)+(0)+(0)+(0)+(0)+(0)+(0)</f>
        <v>0</v>
      </c>
      <c r="BA379" s="153">
        <v>0</v>
      </c>
      <c r="BB379" s="153">
        <f t="shared" ref="BB379" si="640">(AX379+AY379+AZ379)-BA379</f>
        <v>0</v>
      </c>
      <c r="BC379" s="203"/>
      <c r="BD379" s="203"/>
      <c r="BE379" s="203"/>
      <c r="BF379" s="203"/>
      <c r="BG379" s="203"/>
      <c r="BH379" s="203"/>
      <c r="BI379" s="203"/>
      <c r="BJ379" s="203"/>
      <c r="BK379" s="203"/>
      <c r="BL379" s="203"/>
      <c r="BM379" s="203"/>
      <c r="BN379" s="203"/>
      <c r="BO379" s="203"/>
      <c r="BP379" s="203"/>
      <c r="BQ379" s="203"/>
      <c r="BR379" s="154">
        <f t="shared" si="596"/>
        <v>0</v>
      </c>
    </row>
    <row r="380" spans="2:70" ht="25.8" thickBot="1" x14ac:dyDescent="0.65">
      <c r="B380" s="1" t="s">
        <v>475</v>
      </c>
      <c r="C380" s="2" t="s">
        <v>23</v>
      </c>
      <c r="D380" s="13">
        <v>45667</v>
      </c>
      <c r="E380" s="3">
        <v>0</v>
      </c>
      <c r="F380" s="4">
        <f t="shared" ref="F380" si="641">+E380*$C$1</f>
        <v>0</v>
      </c>
      <c r="G380" s="4">
        <f t="shared" ref="G380" si="642">+BR380</f>
        <v>0</v>
      </c>
      <c r="H380" s="42">
        <f t="shared" ref="H380" si="643">+F380+G380</f>
        <v>0</v>
      </c>
      <c r="I380" s="77">
        <v>15</v>
      </c>
      <c r="J380" s="89">
        <v>15</v>
      </c>
      <c r="K380" s="7"/>
      <c r="L380" s="41">
        <v>46397</v>
      </c>
      <c r="M380" s="37"/>
      <c r="N380" s="9" t="s">
        <v>309</v>
      </c>
      <c r="W380" s="1" t="s">
        <v>475</v>
      </c>
      <c r="X380" s="50"/>
      <c r="Y380" s="48"/>
      <c r="Z380" s="49"/>
      <c r="AA380" s="49"/>
      <c r="AB380" s="49"/>
      <c r="AC380" s="31"/>
      <c r="AD380" s="28"/>
      <c r="AE380" s="52"/>
      <c r="AF380" s="52"/>
      <c r="AG380" s="49"/>
      <c r="AH380" s="22"/>
      <c r="AI380" s="52"/>
      <c r="AJ380" s="52"/>
      <c r="AK380" s="49"/>
      <c r="AL380" s="31"/>
      <c r="AM380" s="52"/>
      <c r="AN380" s="52"/>
      <c r="AO380" s="72"/>
      <c r="AP380" s="74"/>
      <c r="AQ380" s="76"/>
      <c r="AR380" s="76"/>
      <c r="AS380" s="74"/>
      <c r="AT380" s="74"/>
      <c r="AU380" s="73"/>
      <c r="AV380" s="73"/>
      <c r="AW380" s="73"/>
      <c r="AX380" s="73"/>
      <c r="AY380" s="109">
        <f t="shared" si="123"/>
        <v>0</v>
      </c>
      <c r="AZ380" s="109">
        <f t="shared" si="111"/>
        <v>0</v>
      </c>
      <c r="BA380" s="153">
        <v>0</v>
      </c>
      <c r="BB380" s="153">
        <f t="shared" ref="BB380" si="644">(AX380+AY380+AZ380)-BA380</f>
        <v>0</v>
      </c>
      <c r="BC380" s="203"/>
      <c r="BD380" s="203"/>
      <c r="BE380" s="203"/>
      <c r="BF380" s="203"/>
      <c r="BG380" s="203"/>
      <c r="BH380" s="203"/>
      <c r="BI380" s="203"/>
      <c r="BJ380" s="203"/>
      <c r="BK380" s="203"/>
      <c r="BL380" s="203"/>
      <c r="BM380" s="203"/>
      <c r="BN380" s="203"/>
      <c r="BO380" s="203"/>
      <c r="BP380" s="203"/>
      <c r="BQ380" s="203"/>
      <c r="BR380" s="154">
        <f t="shared" si="596"/>
        <v>0</v>
      </c>
    </row>
    <row r="381" spans="2:70" ht="25.8" thickBot="1" x14ac:dyDescent="0.65">
      <c r="B381" s="1" t="s">
        <v>476</v>
      </c>
      <c r="C381" s="2" t="s">
        <v>20</v>
      </c>
      <c r="D381" s="13">
        <v>45681</v>
      </c>
      <c r="E381" s="3">
        <v>0</v>
      </c>
      <c r="F381" s="4">
        <f>+E381*$C$1</f>
        <v>0</v>
      </c>
      <c r="G381" s="4">
        <f t="shared" ref="G381" si="645">+BR381</f>
        <v>0</v>
      </c>
      <c r="H381" s="42">
        <f t="shared" ref="H381" si="646">+F381+G381</f>
        <v>0</v>
      </c>
      <c r="I381" s="77">
        <v>15</v>
      </c>
      <c r="J381" s="89">
        <v>15</v>
      </c>
      <c r="K381" s="7"/>
      <c r="L381" s="41">
        <v>46411</v>
      </c>
      <c r="M381" s="37"/>
      <c r="N381" s="9" t="s">
        <v>309</v>
      </c>
      <c r="W381" s="1" t="s">
        <v>476</v>
      </c>
      <c r="X381" s="50"/>
      <c r="Y381" s="48"/>
      <c r="Z381" s="49"/>
      <c r="AA381" s="49"/>
      <c r="AB381" s="49"/>
      <c r="AC381" s="31"/>
      <c r="AD381" s="28"/>
      <c r="AE381" s="52"/>
      <c r="AF381" s="52"/>
      <c r="AG381" s="49"/>
      <c r="AH381" s="63"/>
      <c r="AI381" s="52"/>
      <c r="AJ381" s="52"/>
      <c r="AK381" s="49"/>
      <c r="AL381" s="31"/>
      <c r="AM381" s="52"/>
      <c r="AN381" s="52"/>
      <c r="AO381" s="72"/>
      <c r="AP381" s="74"/>
      <c r="AQ381" s="76"/>
      <c r="AR381" s="76"/>
      <c r="AS381" s="74"/>
      <c r="AT381" s="74"/>
      <c r="AU381" s="73"/>
      <c r="AV381" s="73"/>
      <c r="AW381" s="73"/>
      <c r="AX381" s="73"/>
      <c r="AY381" s="109">
        <f t="shared" si="123"/>
        <v>0</v>
      </c>
      <c r="AZ381" s="109">
        <f t="shared" si="111"/>
        <v>0</v>
      </c>
      <c r="BA381" s="153">
        <v>0</v>
      </c>
      <c r="BB381" s="153">
        <f>(AX381+AY381+AZ381)-BA381</f>
        <v>0</v>
      </c>
      <c r="BC381" s="203"/>
      <c r="BD381" s="203"/>
      <c r="BE381" s="203"/>
      <c r="BF381" s="203"/>
      <c r="BG381" s="203"/>
      <c r="BH381" s="203"/>
      <c r="BI381" s="203"/>
      <c r="BJ381" s="203"/>
      <c r="BK381" s="203"/>
      <c r="BL381" s="203"/>
      <c r="BM381" s="203"/>
      <c r="BN381" s="203"/>
      <c r="BO381" s="203"/>
      <c r="BP381" s="203"/>
      <c r="BQ381" s="203"/>
      <c r="BR381" s="154">
        <f t="shared" si="596"/>
        <v>0</v>
      </c>
    </row>
    <row r="382" spans="2:70" ht="25.8" thickBot="1" x14ac:dyDescent="0.65">
      <c r="B382" s="1" t="s">
        <v>477</v>
      </c>
      <c r="C382" s="2" t="s">
        <v>23</v>
      </c>
      <c r="D382" s="18">
        <v>45660</v>
      </c>
      <c r="E382" s="3">
        <v>0</v>
      </c>
      <c r="F382" s="4">
        <f>+E382*$C$1</f>
        <v>0</v>
      </c>
      <c r="G382" s="4">
        <f>+BR382</f>
        <v>0</v>
      </c>
      <c r="H382" s="42">
        <f>+F382+G382</f>
        <v>0</v>
      </c>
      <c r="I382" s="77">
        <v>15</v>
      </c>
      <c r="J382" s="89">
        <v>15</v>
      </c>
      <c r="K382" s="7"/>
      <c r="L382" s="39">
        <v>46390</v>
      </c>
      <c r="M382" s="37"/>
      <c r="N382" s="9" t="s">
        <v>309</v>
      </c>
      <c r="W382" s="1" t="s">
        <v>477</v>
      </c>
      <c r="X382" s="50"/>
      <c r="Y382" s="48"/>
      <c r="Z382" s="49"/>
      <c r="AA382" s="49"/>
      <c r="AB382" s="49"/>
      <c r="AC382" s="31"/>
      <c r="AD382" s="28"/>
      <c r="AE382" s="52"/>
      <c r="AF382" s="52"/>
      <c r="AG382" s="49"/>
      <c r="AH382" s="22"/>
      <c r="AI382" s="52"/>
      <c r="AJ382" s="52"/>
      <c r="AK382" s="49"/>
      <c r="AL382" s="31"/>
      <c r="AM382" s="52"/>
      <c r="AN382" s="52"/>
      <c r="AO382" s="72"/>
      <c r="AP382" s="74"/>
      <c r="AQ382" s="76"/>
      <c r="AR382" s="76"/>
      <c r="AS382" s="74"/>
      <c r="AT382" s="74"/>
      <c r="AU382" s="73"/>
      <c r="AV382" s="73"/>
      <c r="AW382" s="73"/>
      <c r="AX382" s="73"/>
      <c r="AY382" s="109">
        <f t="shared" si="241"/>
        <v>0</v>
      </c>
      <c r="AZ382" s="109">
        <f t="shared" si="244"/>
        <v>0</v>
      </c>
      <c r="BA382" s="153">
        <v>0</v>
      </c>
      <c r="BB382" s="153">
        <f t="shared" ref="BB382" si="647">(AX382+AY382+AZ382)-BA382</f>
        <v>0</v>
      </c>
      <c r="BC382" s="203"/>
      <c r="BD382" s="203"/>
      <c r="BE382" s="203"/>
      <c r="BF382" s="203"/>
      <c r="BG382" s="203"/>
      <c r="BH382" s="203"/>
      <c r="BI382" s="203"/>
      <c r="BJ382" s="203"/>
      <c r="BK382" s="203"/>
      <c r="BL382" s="203"/>
      <c r="BM382" s="203"/>
      <c r="BN382" s="203"/>
      <c r="BO382" s="203"/>
      <c r="BP382" s="203"/>
      <c r="BQ382" s="203"/>
      <c r="BR382" s="154">
        <f t="shared" si="596"/>
        <v>0</v>
      </c>
    </row>
    <row r="383" spans="2:70" ht="25.8" thickBot="1" x14ac:dyDescent="0.65">
      <c r="B383" s="1" t="s">
        <v>462</v>
      </c>
      <c r="C383" s="2" t="s">
        <v>19</v>
      </c>
      <c r="D383" s="13">
        <v>45614</v>
      </c>
      <c r="E383" s="3">
        <v>0</v>
      </c>
      <c r="F383" s="4">
        <f>+E383*$C$1</f>
        <v>0</v>
      </c>
      <c r="G383" s="4">
        <f>+BR383</f>
        <v>0</v>
      </c>
      <c r="H383" s="42">
        <f t="shared" ref="H383" si="648">+F383+G383</f>
        <v>0</v>
      </c>
      <c r="I383" s="77">
        <v>15</v>
      </c>
      <c r="J383" s="89">
        <v>15</v>
      </c>
      <c r="K383" s="7"/>
      <c r="L383" s="41">
        <v>46344</v>
      </c>
      <c r="M383" s="37"/>
      <c r="N383" s="9" t="s">
        <v>309</v>
      </c>
      <c r="W383" s="1" t="s">
        <v>462</v>
      </c>
      <c r="X383" s="50"/>
      <c r="Y383" s="48"/>
      <c r="Z383" s="49"/>
      <c r="AA383" s="49"/>
      <c r="AB383" s="49"/>
      <c r="AC383" s="31"/>
      <c r="AD383" s="28"/>
      <c r="AE383" s="52"/>
      <c r="AF383" s="52"/>
      <c r="AG383" s="49"/>
      <c r="AH383" s="22"/>
      <c r="AI383" s="52"/>
      <c r="AJ383" s="52"/>
      <c r="AK383" s="49"/>
      <c r="AL383" s="31"/>
      <c r="AM383" s="52"/>
      <c r="AN383" s="52"/>
      <c r="AO383" s="72"/>
      <c r="AP383" s="74"/>
      <c r="AQ383" s="76"/>
      <c r="AR383" s="76"/>
      <c r="AS383" s="74"/>
      <c r="AT383" s="74"/>
      <c r="AU383" s="73"/>
      <c r="AV383" s="73"/>
      <c r="AW383" s="74"/>
      <c r="AX383" s="74"/>
      <c r="AY383" s="109">
        <f t="shared" si="241"/>
        <v>0</v>
      </c>
      <c r="AZ383" s="109">
        <f t="shared" si="244"/>
        <v>0</v>
      </c>
      <c r="BA383" s="153">
        <v>0</v>
      </c>
      <c r="BB383" s="153">
        <f t="shared" ref="BB383" si="649">(AX383+AY383+AZ383)-BA383</f>
        <v>0</v>
      </c>
      <c r="BC383" s="203"/>
      <c r="BD383" s="203"/>
      <c r="BE383" s="203"/>
      <c r="BF383" s="203"/>
      <c r="BG383" s="203"/>
      <c r="BH383" s="203"/>
      <c r="BI383" s="203"/>
      <c r="BJ383" s="203"/>
      <c r="BK383" s="203"/>
      <c r="BL383" s="203"/>
      <c r="BM383" s="203"/>
      <c r="BN383" s="203"/>
      <c r="BO383" s="203"/>
      <c r="BP383" s="203"/>
      <c r="BQ383" s="203"/>
      <c r="BR383" s="154">
        <f t="shared" si="596"/>
        <v>0</v>
      </c>
    </row>
    <row r="384" spans="2:70" ht="25.8" thickBot="1" x14ac:dyDescent="0.65">
      <c r="B384" s="1" t="s">
        <v>472</v>
      </c>
      <c r="C384" s="2" t="s">
        <v>20</v>
      </c>
      <c r="D384" s="18">
        <v>45699</v>
      </c>
      <c r="E384" s="3">
        <v>0</v>
      </c>
      <c r="F384" s="4">
        <f>+E384*$C$1</f>
        <v>0</v>
      </c>
      <c r="G384" s="4">
        <f t="shared" ref="G384" si="650">+BR384</f>
        <v>0</v>
      </c>
      <c r="H384" s="42">
        <f t="shared" ref="H384" si="651">+F384+G384</f>
        <v>0</v>
      </c>
      <c r="I384" s="77">
        <v>15</v>
      </c>
      <c r="J384" s="89">
        <v>15</v>
      </c>
      <c r="K384" s="7"/>
      <c r="L384" s="82">
        <v>46429</v>
      </c>
      <c r="M384" s="37"/>
      <c r="N384" s="9" t="s">
        <v>309</v>
      </c>
      <c r="W384" s="1" t="s">
        <v>472</v>
      </c>
      <c r="X384" s="50"/>
      <c r="Y384" s="48"/>
      <c r="Z384" s="49"/>
      <c r="AA384" s="49"/>
      <c r="AB384" s="49"/>
      <c r="AC384" s="31"/>
      <c r="AD384" s="28"/>
      <c r="AE384" s="52"/>
      <c r="AF384" s="52"/>
      <c r="AG384" s="49"/>
      <c r="AH384" s="22"/>
      <c r="AI384" s="52"/>
      <c r="AJ384" s="52"/>
      <c r="AK384" s="49"/>
      <c r="AL384" s="31"/>
      <c r="AM384" s="52"/>
      <c r="AN384" s="52"/>
      <c r="AO384" s="72"/>
      <c r="AP384" s="74"/>
      <c r="AQ384" s="76"/>
      <c r="AR384" s="76"/>
      <c r="AS384" s="74"/>
      <c r="AT384" s="74"/>
      <c r="AU384" s="73"/>
      <c r="AV384" s="73"/>
      <c r="AW384" s="73"/>
      <c r="AX384" s="73"/>
      <c r="AY384" s="109">
        <f>+(0)+(0)+(0)+(0)</f>
        <v>0</v>
      </c>
      <c r="AZ384" s="109">
        <f>+(0)+(0)+(0)+(0)+(0)+(0)+(0)+(0)</f>
        <v>0</v>
      </c>
      <c r="BA384" s="192">
        <v>0</v>
      </c>
      <c r="BB384" s="192">
        <f t="shared" ref="BB384" si="652">(AX384+AY384+AZ384)-BA384</f>
        <v>0</v>
      </c>
      <c r="BC384" s="204"/>
      <c r="BD384" s="204"/>
      <c r="BE384" s="204"/>
      <c r="BF384" s="204"/>
      <c r="BG384" s="204"/>
      <c r="BH384" s="204"/>
      <c r="BI384" s="204"/>
      <c r="BJ384" s="204"/>
      <c r="BK384" s="204"/>
      <c r="BL384" s="204"/>
      <c r="BM384" s="204"/>
      <c r="BN384" s="204"/>
      <c r="BO384" s="204"/>
      <c r="BP384" s="204"/>
      <c r="BQ384" s="204"/>
      <c r="BR384" s="193">
        <f t="shared" si="596"/>
        <v>0</v>
      </c>
    </row>
    <row r="385" spans="2:70" ht="25.8" thickBot="1" x14ac:dyDescent="0.65">
      <c r="B385" s="1" t="s">
        <v>275</v>
      </c>
      <c r="C385" s="2" t="s">
        <v>21</v>
      </c>
      <c r="D385" s="13">
        <v>43668</v>
      </c>
      <c r="E385" s="3">
        <v>3</v>
      </c>
      <c r="F385" s="4">
        <f>+E385*$C$1</f>
        <v>1599.9900000000002</v>
      </c>
      <c r="G385" s="4">
        <f>+BR385</f>
        <v>900</v>
      </c>
      <c r="H385" s="42">
        <f>+F385+G385</f>
        <v>2499.9900000000002</v>
      </c>
      <c r="I385" s="77">
        <v>13</v>
      </c>
      <c r="J385" s="89">
        <v>13</v>
      </c>
      <c r="K385" s="7"/>
      <c r="L385" s="56">
        <v>46150</v>
      </c>
      <c r="M385" s="37"/>
      <c r="N385" s="9" t="s">
        <v>309</v>
      </c>
      <c r="W385" s="1" t="s">
        <v>275</v>
      </c>
      <c r="X385" s="50">
        <v>0</v>
      </c>
      <c r="Y385" s="48">
        <v>0</v>
      </c>
      <c r="Z385" s="49">
        <v>0</v>
      </c>
      <c r="AA385" s="49">
        <v>0</v>
      </c>
      <c r="AB385" s="49">
        <v>0</v>
      </c>
      <c r="AC385" s="31">
        <v>0</v>
      </c>
      <c r="AD385" s="28">
        <f>+AC385-AB385</f>
        <v>0</v>
      </c>
      <c r="AE385" s="52">
        <v>78</v>
      </c>
      <c r="AF385" s="52">
        <f>+(0)+(0)+(0)+(78)+(132)+(162)</f>
        <v>372</v>
      </c>
      <c r="AG385" s="49">
        <v>150</v>
      </c>
      <c r="AH385" s="22">
        <f>+AD385+(AE385+AF385)-AG385</f>
        <v>300</v>
      </c>
      <c r="AI385" s="52">
        <f t="shared" si="47"/>
        <v>0</v>
      </c>
      <c r="AJ385" s="52">
        <f t="shared" si="47"/>
        <v>0</v>
      </c>
      <c r="AK385" s="49">
        <v>150</v>
      </c>
      <c r="AL385" s="31">
        <f>+AH385+AI385+AJ385-AK385</f>
        <v>150</v>
      </c>
      <c r="AM385" s="52">
        <f t="shared" si="48"/>
        <v>0</v>
      </c>
      <c r="AN385" s="52">
        <f>+(0)+(0)+(0)+(0)+(162)+(0)</f>
        <v>162</v>
      </c>
      <c r="AO385" s="72">
        <v>150</v>
      </c>
      <c r="AP385" s="74">
        <f>+AL385+AM385+AN385-AO385</f>
        <v>162</v>
      </c>
      <c r="AQ385" s="76">
        <f>+(108)+(0)+(0)+(0)+(54)+(0)</f>
        <v>162</v>
      </c>
      <c r="AR385" s="76">
        <f>+(96)+(0)+(0)+(0)+(0)+(0)</f>
        <v>96</v>
      </c>
      <c r="AS385" s="74">
        <v>150</v>
      </c>
      <c r="AT385" s="74">
        <f>+AP385+AQ385+AR385-AS385</f>
        <v>270</v>
      </c>
      <c r="AU385" s="73">
        <f>+(0)+(78)+(0)+(150)</f>
        <v>228</v>
      </c>
      <c r="AV385" s="73">
        <f t="shared" si="30"/>
        <v>0</v>
      </c>
      <c r="AW385" s="73">
        <v>150</v>
      </c>
      <c r="AX385" s="73">
        <f>+AT385+AU385+AV385-AW385</f>
        <v>348</v>
      </c>
      <c r="AY385" s="109">
        <f>+(0)+(0)+(0)+(0)</f>
        <v>0</v>
      </c>
      <c r="AZ385" s="109">
        <f>+(0)+(0)+(0)+(0)+(0)+(0)+(0)+(0)</f>
        <v>0</v>
      </c>
      <c r="BA385" s="192">
        <v>150</v>
      </c>
      <c r="BB385" s="192">
        <f>(AX385+AY385+AZ385)-BA385</f>
        <v>198</v>
      </c>
      <c r="BC385" s="204"/>
      <c r="BD385" s="204"/>
      <c r="BE385" s="204"/>
      <c r="BF385" s="204"/>
      <c r="BG385" s="204"/>
      <c r="BH385" s="204"/>
      <c r="BI385" s="204"/>
      <c r="BJ385" s="204"/>
      <c r="BK385" s="204"/>
      <c r="BL385" s="204"/>
      <c r="BM385" s="204"/>
      <c r="BN385" s="204"/>
      <c r="BO385" s="204"/>
      <c r="BP385" s="204"/>
      <c r="BQ385" s="204"/>
      <c r="BR385" s="193">
        <f t="shared" si="596"/>
        <v>900</v>
      </c>
    </row>
    <row r="386" spans="2:70" ht="25.8" thickBot="1" x14ac:dyDescent="0.65">
      <c r="B386" s="1" t="s">
        <v>431</v>
      </c>
      <c r="C386" s="2" t="s">
        <v>21</v>
      </c>
      <c r="D386" s="13">
        <v>45333</v>
      </c>
      <c r="E386" s="3">
        <v>2</v>
      </c>
      <c r="F386" s="4">
        <f t="shared" ref="F386:F387" si="653">+E386*$C$1</f>
        <v>1066.6600000000001</v>
      </c>
      <c r="G386" s="4">
        <f t="shared" ref="G386" si="654">+BR386</f>
        <v>786</v>
      </c>
      <c r="H386" s="42">
        <f t="shared" ref="H386" si="655">+F386+G386</f>
        <v>1852.66</v>
      </c>
      <c r="I386" s="77">
        <v>13</v>
      </c>
      <c r="J386" s="89">
        <v>13</v>
      </c>
      <c r="K386" s="7"/>
      <c r="L386" s="41">
        <v>46470</v>
      </c>
      <c r="M386" s="37"/>
      <c r="N386" s="9" t="s">
        <v>309</v>
      </c>
      <c r="W386" s="1" t="s">
        <v>431</v>
      </c>
      <c r="X386" s="68">
        <v>514.20000000000005</v>
      </c>
      <c r="Y386" s="48">
        <v>0</v>
      </c>
      <c r="Z386" s="49">
        <v>0</v>
      </c>
      <c r="AA386" s="49">
        <v>0</v>
      </c>
      <c r="AB386" s="49">
        <v>0</v>
      </c>
      <c r="AC386" s="31">
        <v>0</v>
      </c>
      <c r="AD386" s="28">
        <f>+AC386-AB386</f>
        <v>0</v>
      </c>
      <c r="AE386" s="52">
        <v>0</v>
      </c>
      <c r="AF386" s="52">
        <v>0</v>
      </c>
      <c r="AG386" s="49">
        <v>0</v>
      </c>
      <c r="AH386" s="22">
        <f>+AD386+(AE386+AF386)-AG386</f>
        <v>0</v>
      </c>
      <c r="AI386" s="52">
        <v>0</v>
      </c>
      <c r="AJ386" s="52">
        <v>0</v>
      </c>
      <c r="AK386" s="49">
        <v>0</v>
      </c>
      <c r="AL386" s="31">
        <f>+AH386+AI386+AJ386-AK386</f>
        <v>0</v>
      </c>
      <c r="AM386" s="52">
        <v>0</v>
      </c>
      <c r="AN386" s="52">
        <v>0</v>
      </c>
      <c r="AO386" s="72">
        <v>0</v>
      </c>
      <c r="AP386" s="74">
        <f>+AL386+AM386+AN386-AO386</f>
        <v>0</v>
      </c>
      <c r="AQ386" s="76">
        <v>0</v>
      </c>
      <c r="AR386" s="76">
        <v>0</v>
      </c>
      <c r="AS386" s="74">
        <v>0</v>
      </c>
      <c r="AT386" s="74">
        <f>+AP386+AQ386+AR386-AS386</f>
        <v>0</v>
      </c>
      <c r="AU386" s="73">
        <f t="shared" si="104"/>
        <v>0</v>
      </c>
      <c r="AV386" s="73">
        <f>+(0)+(0)+(0)+(0)+(0)+(115.8)+(78)+(0)</f>
        <v>193.8</v>
      </c>
      <c r="AW386" s="73">
        <v>150</v>
      </c>
      <c r="AX386" s="73">
        <f>+AT386+AU386+AV386-AW386</f>
        <v>43.800000000000011</v>
      </c>
      <c r="AY386" s="109">
        <f t="shared" si="123"/>
        <v>0</v>
      </c>
      <c r="AZ386" s="109">
        <f>+(0)+(0)+(78)+(0)+(0)+(0)+(0)+(0)</f>
        <v>78</v>
      </c>
      <c r="BA386" s="192">
        <v>121.8</v>
      </c>
      <c r="BB386" s="192">
        <f>(AX386+AY386+AZ386)-BA386</f>
        <v>0</v>
      </c>
      <c r="BC386" s="204"/>
      <c r="BD386" s="204"/>
      <c r="BE386" s="204"/>
      <c r="BF386" s="204"/>
      <c r="BG386" s="204"/>
      <c r="BH386" s="204"/>
      <c r="BI386" s="204"/>
      <c r="BJ386" s="204"/>
      <c r="BK386" s="204"/>
      <c r="BL386" s="204"/>
      <c r="BM386" s="204"/>
      <c r="BN386" s="204"/>
      <c r="BO386" s="204"/>
      <c r="BP386" s="204"/>
      <c r="BQ386" s="204"/>
      <c r="BR386" s="193">
        <f t="shared" si="596"/>
        <v>786</v>
      </c>
    </row>
    <row r="387" spans="2:70" ht="25.8" thickBot="1" x14ac:dyDescent="0.65">
      <c r="B387" s="1" t="s">
        <v>483</v>
      </c>
      <c r="C387" s="2" t="s">
        <v>20</v>
      </c>
      <c r="D387" s="13">
        <v>45728</v>
      </c>
      <c r="E387" s="3">
        <v>0</v>
      </c>
      <c r="F387" s="4">
        <f t="shared" si="653"/>
        <v>0</v>
      </c>
      <c r="G387" s="4">
        <f t="shared" ref="G387" si="656">+BR387</f>
        <v>0</v>
      </c>
      <c r="H387" s="42">
        <f t="shared" ref="H387" si="657">+F387+G387</f>
        <v>0</v>
      </c>
      <c r="I387" s="77">
        <v>15</v>
      </c>
      <c r="J387" s="89">
        <v>15</v>
      </c>
      <c r="K387" s="7"/>
      <c r="L387" s="41">
        <v>46458</v>
      </c>
      <c r="M387" s="37"/>
      <c r="N387" s="9" t="s">
        <v>309</v>
      </c>
      <c r="W387" s="1" t="s">
        <v>483</v>
      </c>
      <c r="X387" s="48"/>
      <c r="Y387" s="48"/>
      <c r="Z387" s="49"/>
      <c r="AA387" s="49"/>
      <c r="AB387" s="49"/>
      <c r="AC387" s="31"/>
      <c r="AD387" s="28"/>
      <c r="AE387" s="52"/>
      <c r="AF387" s="52"/>
      <c r="AG387" s="49"/>
      <c r="AH387" s="22"/>
      <c r="AI387" s="52"/>
      <c r="AJ387" s="52"/>
      <c r="AK387" s="49"/>
      <c r="AL387" s="31"/>
      <c r="AM387" s="52"/>
      <c r="AN387" s="52"/>
      <c r="AO387" s="72"/>
      <c r="AP387" s="74"/>
      <c r="AQ387" s="76"/>
      <c r="AR387" s="76"/>
      <c r="AS387" s="74"/>
      <c r="AT387" s="74"/>
      <c r="AU387" s="73"/>
      <c r="AV387" s="73"/>
      <c r="AW387" s="73"/>
      <c r="AX387" s="73"/>
      <c r="AY387" s="109">
        <f t="shared" si="123"/>
        <v>0</v>
      </c>
      <c r="AZ387" s="109">
        <f t="shared" si="111"/>
        <v>0</v>
      </c>
      <c r="BA387" s="192">
        <v>0</v>
      </c>
      <c r="BB387" s="192">
        <f t="shared" ref="BB387" si="658">(AX387+AY387+AZ387)-BA387</f>
        <v>0</v>
      </c>
      <c r="BC387" s="204"/>
      <c r="BD387" s="204"/>
      <c r="BE387" s="204"/>
      <c r="BF387" s="204"/>
      <c r="BG387" s="204"/>
      <c r="BH387" s="204"/>
      <c r="BI387" s="204"/>
      <c r="BJ387" s="204"/>
      <c r="BK387" s="204"/>
      <c r="BL387" s="204"/>
      <c r="BM387" s="204"/>
      <c r="BN387" s="204"/>
      <c r="BO387" s="204"/>
      <c r="BP387" s="204"/>
      <c r="BQ387" s="204"/>
      <c r="BR387" s="193">
        <f t="shared" si="596"/>
        <v>0</v>
      </c>
    </row>
    <row r="388" spans="2:70" ht="25.8" thickBot="1" x14ac:dyDescent="0.65">
      <c r="B388" s="1" t="s">
        <v>406</v>
      </c>
      <c r="C388" s="2" t="s">
        <v>20</v>
      </c>
      <c r="D388" s="18">
        <v>45108</v>
      </c>
      <c r="E388" s="3">
        <v>0</v>
      </c>
      <c r="F388" s="4">
        <f t="shared" ref="F388" si="659">+E388*$C$1</f>
        <v>0</v>
      </c>
      <c r="G388" s="4">
        <f t="shared" ref="G388" si="660">+BR388</f>
        <v>67.2</v>
      </c>
      <c r="H388" s="42">
        <f t="shared" ref="H388" si="661">+F388+G388</f>
        <v>67.2</v>
      </c>
      <c r="I388" s="77">
        <v>15</v>
      </c>
      <c r="J388" s="89">
        <v>15</v>
      </c>
      <c r="K388" s="7"/>
      <c r="L388" s="41">
        <v>45839</v>
      </c>
      <c r="M388" s="37"/>
      <c r="N388" s="9" t="s">
        <v>309</v>
      </c>
      <c r="W388" s="1" t="s">
        <v>406</v>
      </c>
      <c r="X388" s="50">
        <v>0</v>
      </c>
      <c r="Y388" s="48">
        <v>0</v>
      </c>
      <c r="Z388" s="49">
        <v>0</v>
      </c>
      <c r="AA388" s="49">
        <v>0</v>
      </c>
      <c r="AB388" s="49">
        <v>0</v>
      </c>
      <c r="AC388" s="31">
        <v>0</v>
      </c>
      <c r="AD388" s="28">
        <f>+AC388-AB388</f>
        <v>0</v>
      </c>
      <c r="AE388" s="52">
        <v>0</v>
      </c>
      <c r="AF388" s="52">
        <v>0</v>
      </c>
      <c r="AG388" s="49">
        <v>0</v>
      </c>
      <c r="AH388" s="22">
        <v>0</v>
      </c>
      <c r="AI388" s="52">
        <v>0</v>
      </c>
      <c r="AJ388" s="52">
        <v>0</v>
      </c>
      <c r="AK388" s="49">
        <v>0</v>
      </c>
      <c r="AL388" s="70">
        <f>+AH388+AI388+AJ388-AK388</f>
        <v>0</v>
      </c>
      <c r="AM388" s="52">
        <v>0</v>
      </c>
      <c r="AN388" s="52">
        <v>0</v>
      </c>
      <c r="AO388" s="72">
        <v>0</v>
      </c>
      <c r="AP388" s="74">
        <f>+AL388+AM388+AN388-AO388</f>
        <v>0</v>
      </c>
      <c r="AQ388" s="76">
        <f t="shared" si="83"/>
        <v>0</v>
      </c>
      <c r="AR388" s="76">
        <f t="shared" si="83"/>
        <v>0</v>
      </c>
      <c r="AS388" s="74">
        <v>0</v>
      </c>
      <c r="AT388" s="74">
        <f>+AP388+AQ388+AR388-AS388</f>
        <v>0</v>
      </c>
      <c r="AU388" s="73">
        <f t="shared" si="104"/>
        <v>0</v>
      </c>
      <c r="AV388" s="73">
        <f>+(0)+(0)+(0)+(0)+(67.2)+(0)+(0)+(0)</f>
        <v>67.2</v>
      </c>
      <c r="AW388" s="73">
        <v>67.2</v>
      </c>
      <c r="AX388" s="73">
        <f>+AT388+AU388+AV388-AW388</f>
        <v>0</v>
      </c>
      <c r="AY388" s="109">
        <f t="shared" si="123"/>
        <v>0</v>
      </c>
      <c r="AZ388" s="109">
        <f t="shared" si="244"/>
        <v>0</v>
      </c>
      <c r="BA388" s="192">
        <v>0</v>
      </c>
      <c r="BB388" s="192">
        <f>(AX388+AY388+AZ388)-BA388</f>
        <v>0</v>
      </c>
      <c r="BC388" s="204"/>
      <c r="BD388" s="204"/>
      <c r="BE388" s="204"/>
      <c r="BF388" s="204"/>
      <c r="BG388" s="204"/>
      <c r="BH388" s="204"/>
      <c r="BI388" s="204"/>
      <c r="BJ388" s="204"/>
      <c r="BK388" s="204"/>
      <c r="BL388" s="204"/>
      <c r="BM388" s="204"/>
      <c r="BN388" s="204"/>
      <c r="BO388" s="204"/>
      <c r="BP388" s="204"/>
      <c r="BQ388" s="204"/>
      <c r="BR388" s="193">
        <f t="shared" si="596"/>
        <v>67.2</v>
      </c>
    </row>
    <row r="389" spans="2:70" ht="25.8" thickBot="1" x14ac:dyDescent="0.65">
      <c r="B389" s="1" t="s">
        <v>488</v>
      </c>
      <c r="C389" s="2" t="s">
        <v>23</v>
      </c>
      <c r="D389" s="13">
        <v>45784</v>
      </c>
      <c r="E389" s="3">
        <v>0</v>
      </c>
      <c r="F389" s="4">
        <f>+E389*$C$1</f>
        <v>0</v>
      </c>
      <c r="G389" s="4">
        <f>+BR389</f>
        <v>0</v>
      </c>
      <c r="H389" s="42">
        <f>+F389+G389</f>
        <v>0</v>
      </c>
      <c r="I389" s="77">
        <v>15</v>
      </c>
      <c r="J389" s="89">
        <v>15</v>
      </c>
      <c r="K389" s="7"/>
      <c r="L389" s="39">
        <v>46514</v>
      </c>
      <c r="M389" s="37"/>
      <c r="N389" s="9" t="s">
        <v>309</v>
      </c>
      <c r="W389" s="1" t="s">
        <v>488</v>
      </c>
      <c r="X389" s="50"/>
      <c r="Y389" s="48"/>
      <c r="Z389" s="49"/>
      <c r="AA389" s="49"/>
      <c r="AB389" s="49"/>
      <c r="AC389" s="31"/>
      <c r="AD389" s="28"/>
      <c r="AE389" s="52"/>
      <c r="AF389" s="52"/>
      <c r="AG389" s="49"/>
      <c r="AH389" s="22"/>
      <c r="AI389" s="52"/>
      <c r="AJ389" s="52"/>
      <c r="AK389" s="49"/>
      <c r="AL389" s="31"/>
      <c r="AM389" s="52"/>
      <c r="AN389" s="52"/>
      <c r="AO389" s="72"/>
      <c r="AP389" s="74"/>
      <c r="AQ389" s="76"/>
      <c r="AR389" s="76"/>
      <c r="AS389" s="74"/>
      <c r="AT389" s="74"/>
      <c r="AU389" s="73"/>
      <c r="AV389" s="73"/>
      <c r="AW389" s="74"/>
      <c r="AX389" s="74"/>
      <c r="AY389" s="109">
        <f>+(0)+(0)+(0)+(0)</f>
        <v>0</v>
      </c>
      <c r="AZ389" s="109">
        <f>+(0)+(0)+(0)+(0)+(0)+(0)+(0)+(0)</f>
        <v>0</v>
      </c>
      <c r="BA389" s="192">
        <v>0</v>
      </c>
      <c r="BB389" s="192">
        <f>(AX389+AY389+AZ389)-BA389</f>
        <v>0</v>
      </c>
      <c r="BC389" s="204"/>
      <c r="BD389" s="204"/>
      <c r="BE389" s="204"/>
      <c r="BF389" s="204"/>
      <c r="BG389" s="204"/>
      <c r="BH389" s="204"/>
      <c r="BI389" s="204"/>
      <c r="BJ389" s="204"/>
      <c r="BK389" s="204"/>
      <c r="BL389" s="204"/>
      <c r="BM389" s="204"/>
      <c r="BN389" s="204"/>
      <c r="BO389" s="204"/>
      <c r="BP389" s="204"/>
      <c r="BQ389" s="204"/>
      <c r="BR389" s="193">
        <f t="shared" si="596"/>
        <v>0</v>
      </c>
    </row>
    <row r="390" spans="2:70" ht="25.8" thickBot="1" x14ac:dyDescent="0.65">
      <c r="B390" s="1" t="s">
        <v>455</v>
      </c>
      <c r="C390" s="2" t="s">
        <v>19</v>
      </c>
      <c r="D390" s="13">
        <v>45518</v>
      </c>
      <c r="E390" s="3">
        <v>0</v>
      </c>
      <c r="F390" s="4">
        <f>+E390*$C$1</f>
        <v>0</v>
      </c>
      <c r="G390" s="4">
        <f t="shared" ref="G390" si="662">+BR390</f>
        <v>120</v>
      </c>
      <c r="H390" s="42">
        <f>+F390+G390</f>
        <v>120</v>
      </c>
      <c r="I390" s="77">
        <v>15</v>
      </c>
      <c r="J390" s="89">
        <v>15</v>
      </c>
      <c r="K390" s="7"/>
      <c r="L390" s="41">
        <v>46248</v>
      </c>
      <c r="M390" s="37"/>
      <c r="N390" s="9" t="s">
        <v>309</v>
      </c>
      <c r="W390" s="1" t="str">
        <f>+B390</f>
        <v>LOBOS SANCHEZ PATRICIO ENRIQUE</v>
      </c>
      <c r="X390" s="50"/>
      <c r="Y390" s="48"/>
      <c r="Z390" s="49"/>
      <c r="AA390" s="49"/>
      <c r="AB390" s="49"/>
      <c r="AC390" s="31"/>
      <c r="AD390" s="28"/>
      <c r="AE390" s="52"/>
      <c r="AF390" s="52"/>
      <c r="AG390" s="49"/>
      <c r="AH390" s="22"/>
      <c r="AI390" s="52"/>
      <c r="AJ390" s="52"/>
      <c r="AK390" s="49"/>
      <c r="AL390" s="31"/>
      <c r="AM390" s="52"/>
      <c r="AN390" s="52"/>
      <c r="AO390" s="72"/>
      <c r="AP390" s="74"/>
      <c r="AQ390" s="76"/>
      <c r="AR390" s="76"/>
      <c r="AS390" s="74"/>
      <c r="AT390" s="74"/>
      <c r="AU390" s="73">
        <f t="shared" si="104"/>
        <v>0</v>
      </c>
      <c r="AV390" s="73">
        <f t="shared" si="110"/>
        <v>0</v>
      </c>
      <c r="AW390" s="73">
        <v>0</v>
      </c>
      <c r="AX390" s="73">
        <f t="shared" ref="AX390" si="663">+AT390+AU390+AV390-AW390</f>
        <v>0</v>
      </c>
      <c r="AY390" s="109">
        <f>+(0)+(0)+(0)+(132.6)</f>
        <v>132.6</v>
      </c>
      <c r="AZ390" s="109">
        <f>+(0)+(78)+(0)+(0)+(0)+(0)+(0)+(0)</f>
        <v>78</v>
      </c>
      <c r="BA390" s="192">
        <v>120</v>
      </c>
      <c r="BB390" s="192">
        <f>(AX390+AY390+AZ390)-BA390</f>
        <v>90.6</v>
      </c>
      <c r="BC390" s="204"/>
      <c r="BD390" s="204"/>
      <c r="BE390" s="204"/>
      <c r="BF390" s="204"/>
      <c r="BG390" s="204"/>
      <c r="BH390" s="204"/>
      <c r="BI390" s="204"/>
      <c r="BJ390" s="204"/>
      <c r="BK390" s="204"/>
      <c r="BL390" s="204"/>
      <c r="BM390" s="204"/>
      <c r="BN390" s="204"/>
      <c r="BO390" s="204"/>
      <c r="BP390" s="204"/>
      <c r="BQ390" s="204"/>
      <c r="BR390" s="193">
        <f t="shared" si="596"/>
        <v>120</v>
      </c>
    </row>
    <row r="391" spans="2:70" ht="25.8" thickBot="1" x14ac:dyDescent="0.65">
      <c r="B391" s="1" t="s">
        <v>486</v>
      </c>
      <c r="C391" s="2" t="s">
        <v>171</v>
      </c>
      <c r="D391" s="18">
        <v>45755</v>
      </c>
      <c r="E391" s="3">
        <v>0</v>
      </c>
      <c r="F391" s="4">
        <f>+E391*$C$1</f>
        <v>0</v>
      </c>
      <c r="G391" s="4">
        <f>+BR391</f>
        <v>0</v>
      </c>
      <c r="H391" s="42">
        <f>+F391+G391</f>
        <v>0</v>
      </c>
      <c r="I391" s="77">
        <v>15</v>
      </c>
      <c r="J391" s="89">
        <v>15</v>
      </c>
      <c r="K391" s="7"/>
      <c r="L391" s="39">
        <v>46485</v>
      </c>
      <c r="M391" s="37"/>
      <c r="N391" s="9" t="s">
        <v>309</v>
      </c>
      <c r="W391" s="1" t="s">
        <v>486</v>
      </c>
      <c r="X391" s="50"/>
      <c r="Y391" s="48"/>
      <c r="Z391" s="49"/>
      <c r="AA391" s="49"/>
      <c r="AB391" s="49"/>
      <c r="AC391" s="31"/>
      <c r="AD391" s="28"/>
      <c r="AE391" s="52"/>
      <c r="AF391" s="52"/>
      <c r="AG391" s="49"/>
      <c r="AH391" s="22"/>
      <c r="AI391" s="52"/>
      <c r="AJ391" s="52"/>
      <c r="AK391" s="49"/>
      <c r="AL391" s="31"/>
      <c r="AM391" s="52"/>
      <c r="AN391" s="52"/>
      <c r="AO391" s="72"/>
      <c r="AP391" s="74"/>
      <c r="AQ391" s="76"/>
      <c r="AR391" s="76"/>
      <c r="AS391" s="74"/>
      <c r="AT391" s="74"/>
      <c r="AU391" s="73"/>
      <c r="AV391" s="73"/>
      <c r="AW391" s="73"/>
      <c r="AX391" s="73"/>
      <c r="AY391" s="109">
        <f t="shared" si="241"/>
        <v>0</v>
      </c>
      <c r="AZ391" s="109">
        <f t="shared" si="244"/>
        <v>0</v>
      </c>
      <c r="BA391" s="192">
        <v>0</v>
      </c>
      <c r="BB391" s="192">
        <f t="shared" ref="BB391" si="664">(AX391+AY391+AZ391)-BA391</f>
        <v>0</v>
      </c>
      <c r="BC391" s="204"/>
      <c r="BD391" s="204"/>
      <c r="BE391" s="204"/>
      <c r="BF391" s="204"/>
      <c r="BG391" s="204"/>
      <c r="BH391" s="204"/>
      <c r="BI391" s="204"/>
      <c r="BJ391" s="204"/>
      <c r="BK391" s="204"/>
      <c r="BL391" s="204"/>
      <c r="BM391" s="204"/>
      <c r="BN391" s="204"/>
      <c r="BO391" s="204"/>
      <c r="BP391" s="204"/>
      <c r="BQ391" s="204"/>
      <c r="BR391" s="193">
        <f t="shared" si="596"/>
        <v>0</v>
      </c>
    </row>
    <row r="392" spans="2:70" ht="25.8" thickBot="1" x14ac:dyDescent="0.65">
      <c r="B392" s="1" t="s">
        <v>288</v>
      </c>
      <c r="C392" s="2" t="s">
        <v>21</v>
      </c>
      <c r="D392" s="13">
        <v>45545</v>
      </c>
      <c r="E392" s="3">
        <v>0</v>
      </c>
      <c r="F392" s="4">
        <f t="shared" ref="F392" si="665">+E392*$C$1</f>
        <v>0</v>
      </c>
      <c r="G392" s="4">
        <f>+BR392</f>
        <v>150</v>
      </c>
      <c r="H392" s="42">
        <f t="shared" ref="H392" si="666">+F392+G392</f>
        <v>150</v>
      </c>
      <c r="I392" s="77">
        <v>14</v>
      </c>
      <c r="J392" s="89">
        <v>14</v>
      </c>
      <c r="K392" s="7"/>
      <c r="L392" s="195" t="s">
        <v>442</v>
      </c>
      <c r="M392" s="7"/>
      <c r="N392" s="9" t="s">
        <v>309</v>
      </c>
      <c r="W392" s="1" t="s">
        <v>288</v>
      </c>
      <c r="X392" s="50"/>
      <c r="Y392" s="48"/>
      <c r="Z392" s="49"/>
      <c r="AA392" s="49"/>
      <c r="AB392" s="49"/>
      <c r="AC392" s="31"/>
      <c r="AD392" s="28"/>
      <c r="AE392" s="52"/>
      <c r="AF392" s="52"/>
      <c r="AG392" s="49"/>
      <c r="AH392" s="22"/>
      <c r="AI392" s="52"/>
      <c r="AJ392" s="52"/>
      <c r="AK392" s="49"/>
      <c r="AL392" s="31"/>
      <c r="AM392" s="52"/>
      <c r="AN392" s="52"/>
      <c r="AO392" s="72"/>
      <c r="AP392" s="74"/>
      <c r="AQ392" s="76"/>
      <c r="AR392" s="76"/>
      <c r="AS392" s="74"/>
      <c r="AT392" s="74"/>
      <c r="AU392" s="73"/>
      <c r="AV392" s="73"/>
      <c r="AW392" s="73"/>
      <c r="AX392" s="73"/>
      <c r="AY392" s="109">
        <f t="shared" si="241"/>
        <v>0</v>
      </c>
      <c r="AZ392" s="109">
        <f>+(0)+(96)+(60)+(0)+(0)+(0)+(0)+(0)</f>
        <v>156</v>
      </c>
      <c r="BA392" s="192">
        <v>150</v>
      </c>
      <c r="BB392" s="192">
        <f>(AX392+AY392+AZ392)-BA392</f>
        <v>6</v>
      </c>
      <c r="BC392" s="204"/>
      <c r="BD392" s="204"/>
      <c r="BE392" s="204"/>
      <c r="BF392" s="204"/>
      <c r="BG392" s="204"/>
      <c r="BH392" s="204"/>
      <c r="BI392" s="204"/>
      <c r="BJ392" s="204"/>
      <c r="BK392" s="204"/>
      <c r="BL392" s="204"/>
      <c r="BM392" s="204"/>
      <c r="BN392" s="204"/>
      <c r="BO392" s="204"/>
      <c r="BP392" s="204"/>
      <c r="BQ392" s="204"/>
      <c r="BR392" s="193">
        <f t="shared" si="596"/>
        <v>150</v>
      </c>
    </row>
    <row r="393" spans="2:70" ht="25.8" thickBot="1" x14ac:dyDescent="0.65">
      <c r="B393" s="1" t="s">
        <v>489</v>
      </c>
      <c r="C393" s="2" t="s">
        <v>21</v>
      </c>
      <c r="D393" s="13">
        <v>45789</v>
      </c>
      <c r="E393" s="3">
        <v>0</v>
      </c>
      <c r="F393" s="4">
        <f t="shared" ref="F393" si="667">+E393*$C$1</f>
        <v>0</v>
      </c>
      <c r="G393" s="4">
        <f t="shared" ref="G393" si="668">+BR393</f>
        <v>0</v>
      </c>
      <c r="H393" s="42">
        <f t="shared" ref="H393" si="669">+F393+G393</f>
        <v>0</v>
      </c>
      <c r="I393" s="77">
        <v>15</v>
      </c>
      <c r="J393" s="89">
        <v>15</v>
      </c>
      <c r="K393" s="7"/>
      <c r="L393" s="41">
        <v>46519</v>
      </c>
      <c r="M393" s="37"/>
      <c r="N393" s="9" t="s">
        <v>309</v>
      </c>
      <c r="W393" s="1" t="s">
        <v>489</v>
      </c>
      <c r="X393" s="50"/>
      <c r="Y393" s="48"/>
      <c r="Z393" s="49"/>
      <c r="AA393" s="49"/>
      <c r="AB393" s="49"/>
      <c r="AC393" s="31"/>
      <c r="AD393" s="28"/>
      <c r="AE393" s="52"/>
      <c r="AF393" s="52"/>
      <c r="AG393" s="49"/>
      <c r="AH393" s="22"/>
      <c r="AI393" s="52"/>
      <c r="AJ393" s="52"/>
      <c r="AK393" s="49"/>
      <c r="AL393" s="31"/>
      <c r="AM393" s="52"/>
      <c r="AN393" s="52"/>
      <c r="AO393" s="72"/>
      <c r="AP393" s="74"/>
      <c r="AQ393" s="76"/>
      <c r="AR393" s="76"/>
      <c r="AS393" s="74"/>
      <c r="AT393" s="74"/>
      <c r="AU393" s="73"/>
      <c r="AV393" s="73"/>
      <c r="AW393" s="73"/>
      <c r="AX393" s="73"/>
      <c r="AY393" s="109">
        <f t="shared" si="241"/>
        <v>0</v>
      </c>
      <c r="AZ393" s="109">
        <f t="shared" si="244"/>
        <v>0</v>
      </c>
      <c r="BA393" s="192">
        <v>0</v>
      </c>
      <c r="BB393" s="192">
        <f t="shared" ref="BB393" si="670">(AX393+AY393+AZ393)-BA393</f>
        <v>0</v>
      </c>
      <c r="BC393" s="204"/>
      <c r="BD393" s="204"/>
      <c r="BE393" s="204"/>
      <c r="BF393" s="204"/>
      <c r="BG393" s="204"/>
      <c r="BH393" s="204"/>
      <c r="BI393" s="204"/>
      <c r="BJ393" s="204"/>
      <c r="BK393" s="204"/>
      <c r="BL393" s="204"/>
      <c r="BM393" s="204"/>
      <c r="BN393" s="204"/>
      <c r="BO393" s="204"/>
      <c r="BP393" s="204"/>
      <c r="BQ393" s="204"/>
      <c r="BR393" s="193">
        <f t="shared" si="596"/>
        <v>0</v>
      </c>
    </row>
    <row r="394" spans="2:70" ht="25.8" thickBot="1" x14ac:dyDescent="0.65">
      <c r="B394" s="1" t="s">
        <v>492</v>
      </c>
      <c r="C394" s="2" t="s">
        <v>23</v>
      </c>
      <c r="D394" s="13">
        <v>45804</v>
      </c>
      <c r="E394" s="3">
        <v>0</v>
      </c>
      <c r="F394" s="4">
        <f>+E394*$C$1</f>
        <v>0</v>
      </c>
      <c r="G394" s="4">
        <f>+BR394</f>
        <v>0</v>
      </c>
      <c r="H394" s="42">
        <f t="shared" ref="H394" si="671">+F394+G394</f>
        <v>0</v>
      </c>
      <c r="I394" s="77">
        <v>15</v>
      </c>
      <c r="J394" s="89">
        <v>15</v>
      </c>
      <c r="K394" s="7"/>
      <c r="L394" s="41">
        <v>46534</v>
      </c>
      <c r="M394" s="37"/>
      <c r="N394" s="9" t="s">
        <v>309</v>
      </c>
      <c r="W394" s="1" t="s">
        <v>492</v>
      </c>
      <c r="X394" s="50"/>
      <c r="Y394" s="48"/>
      <c r="Z394" s="49"/>
      <c r="AA394" s="49"/>
      <c r="AB394" s="49"/>
      <c r="AC394" s="31"/>
      <c r="AD394" s="28"/>
      <c r="AE394" s="52"/>
      <c r="AF394" s="52"/>
      <c r="AG394" s="49"/>
      <c r="AH394" s="22"/>
      <c r="AI394" s="52"/>
      <c r="AJ394" s="52"/>
      <c r="AK394" s="49"/>
      <c r="AL394" s="31"/>
      <c r="AM394" s="52"/>
      <c r="AN394" s="52"/>
      <c r="AO394" s="72"/>
      <c r="AP394" s="74"/>
      <c r="AQ394" s="76"/>
      <c r="AR394" s="76"/>
      <c r="AS394" s="74"/>
      <c r="AT394" s="74"/>
      <c r="AU394" s="73"/>
      <c r="AV394" s="73"/>
      <c r="AW394" s="73"/>
      <c r="AX394" s="73"/>
      <c r="AY394" s="109">
        <f>+(0)+(0)+(0)+(0)</f>
        <v>0</v>
      </c>
      <c r="AZ394" s="109">
        <f>+(0)+(0)+(0)+(0)+(0)+(0)+(0)+(0)</f>
        <v>0</v>
      </c>
      <c r="BA394" s="61">
        <v>0</v>
      </c>
      <c r="BB394" s="61">
        <f t="shared" ref="BB394" si="672">(AX394+AY394+AZ394)-BA394</f>
        <v>0</v>
      </c>
      <c r="BC394" s="88"/>
      <c r="BD394" s="88"/>
      <c r="BE394" s="88"/>
      <c r="BF394" s="88"/>
      <c r="BG394" s="88"/>
      <c r="BH394" s="88"/>
      <c r="BI394" s="88"/>
      <c r="BJ394" s="88"/>
      <c r="BK394" s="88"/>
      <c r="BL394" s="88"/>
      <c r="BM394" s="88"/>
      <c r="BN394" s="88"/>
      <c r="BO394" s="88"/>
      <c r="BP394" s="88"/>
      <c r="BQ394" s="88"/>
      <c r="BR394" s="175">
        <f t="shared" si="596"/>
        <v>0</v>
      </c>
    </row>
    <row r="395" spans="2:70" ht="25.8" thickBot="1" x14ac:dyDescent="0.65">
      <c r="B395" s="1" t="s">
        <v>496</v>
      </c>
      <c r="C395" s="2" t="s">
        <v>19</v>
      </c>
      <c r="D395" s="18">
        <v>45803</v>
      </c>
      <c r="E395" s="3">
        <v>0</v>
      </c>
      <c r="F395" s="4">
        <f>+E395*$C$1</f>
        <v>0</v>
      </c>
      <c r="G395" s="4">
        <f>+BR395</f>
        <v>0</v>
      </c>
      <c r="H395" s="42">
        <f>+F395+G395</f>
        <v>0</v>
      </c>
      <c r="I395" s="77">
        <v>15</v>
      </c>
      <c r="J395" s="89">
        <v>15</v>
      </c>
      <c r="K395" s="7"/>
      <c r="L395" s="39" t="s">
        <v>497</v>
      </c>
      <c r="M395" s="37"/>
      <c r="N395" s="9" t="s">
        <v>309</v>
      </c>
      <c r="W395" s="1" t="s">
        <v>496</v>
      </c>
      <c r="X395" s="50"/>
      <c r="Y395" s="48"/>
      <c r="Z395" s="49"/>
      <c r="AA395" s="49"/>
      <c r="AB395" s="49"/>
      <c r="AC395" s="31"/>
      <c r="AD395" s="28"/>
      <c r="AE395" s="52"/>
      <c r="AF395" s="52"/>
      <c r="AG395" s="49"/>
      <c r="AH395" s="22"/>
      <c r="AI395" s="52"/>
      <c r="AJ395" s="52"/>
      <c r="AK395" s="49"/>
      <c r="AL395" s="31"/>
      <c r="AM395" s="52"/>
      <c r="AN395" s="52"/>
      <c r="AO395" s="72"/>
      <c r="AP395" s="74"/>
      <c r="AQ395" s="76"/>
      <c r="AR395" s="76"/>
      <c r="AS395" s="74"/>
      <c r="AT395" s="74"/>
      <c r="AU395" s="73"/>
      <c r="AV395" s="73"/>
      <c r="AW395" s="73"/>
      <c r="AX395" s="73"/>
      <c r="AY395" s="109">
        <f t="shared" si="241"/>
        <v>0</v>
      </c>
      <c r="AZ395" s="109">
        <f t="shared" si="244"/>
        <v>0</v>
      </c>
      <c r="BA395" s="61">
        <v>0</v>
      </c>
      <c r="BB395" s="61">
        <f>(AX395+AY395+AZ395)-BA395</f>
        <v>0</v>
      </c>
      <c r="BC395" s="88"/>
      <c r="BD395" s="88"/>
      <c r="BE395" s="88"/>
      <c r="BF395" s="88"/>
      <c r="BG395" s="88"/>
      <c r="BH395" s="88"/>
      <c r="BI395" s="88"/>
      <c r="BJ395" s="88"/>
      <c r="BK395" s="88"/>
      <c r="BL395" s="88"/>
      <c r="BM395" s="88"/>
      <c r="BN395" s="88"/>
      <c r="BO395" s="88"/>
      <c r="BP395" s="88"/>
      <c r="BQ395" s="88"/>
      <c r="BR395" s="175">
        <f t="shared" si="596"/>
        <v>0</v>
      </c>
    </row>
    <row r="396" spans="2:70" ht="25.8" thickBot="1" x14ac:dyDescent="0.65">
      <c r="B396" s="1" t="s">
        <v>480</v>
      </c>
      <c r="C396" s="2" t="s">
        <v>21</v>
      </c>
      <c r="D396" s="13">
        <v>45691</v>
      </c>
      <c r="E396" s="3">
        <v>1</v>
      </c>
      <c r="F396" s="4">
        <f t="shared" ref="F396" si="673">+E396*$C$1</f>
        <v>533.33000000000004</v>
      </c>
      <c r="G396" s="4">
        <f t="shared" ref="G396" si="674">+BR396</f>
        <v>726</v>
      </c>
      <c r="H396" s="42">
        <f t="shared" ref="H396" si="675">+F396+G396</f>
        <v>1259.33</v>
      </c>
      <c r="I396" s="77">
        <v>14</v>
      </c>
      <c r="J396" s="89">
        <v>14</v>
      </c>
      <c r="K396" s="7"/>
      <c r="L396" s="41">
        <v>46499</v>
      </c>
      <c r="M396" s="37"/>
      <c r="N396" s="9" t="s">
        <v>309</v>
      </c>
      <c r="W396" s="1" t="s">
        <v>480</v>
      </c>
      <c r="X396" s="68">
        <v>618</v>
      </c>
      <c r="Y396" s="48"/>
      <c r="Z396" s="49"/>
      <c r="AA396" s="49"/>
      <c r="AB396" s="49"/>
      <c r="AC396" s="31"/>
      <c r="AD396" s="28"/>
      <c r="AE396" s="52"/>
      <c r="AF396" s="52"/>
      <c r="AG396" s="49"/>
      <c r="AH396" s="22"/>
      <c r="AI396" s="52"/>
      <c r="AJ396" s="52"/>
      <c r="AK396" s="49"/>
      <c r="AL396" s="31"/>
      <c r="AM396" s="52"/>
      <c r="AN396" s="52"/>
      <c r="AO396" s="72"/>
      <c r="AP396" s="74"/>
      <c r="AQ396" s="76"/>
      <c r="AR396" s="76"/>
      <c r="AS396" s="74"/>
      <c r="AT396" s="74"/>
      <c r="AU396" s="73"/>
      <c r="AV396" s="73"/>
      <c r="AW396" s="74"/>
      <c r="AX396" s="74"/>
      <c r="AY396" s="109">
        <f t="shared" si="241"/>
        <v>0</v>
      </c>
      <c r="AZ396" s="109">
        <f>+(0)+(0)+(0)+(0)+(30)+(78)+(0)+(0)</f>
        <v>108</v>
      </c>
      <c r="BA396" s="61">
        <v>108</v>
      </c>
      <c r="BB396" s="61">
        <f t="shared" ref="BB396" si="676">(AX396+AY396+AZ396)-BA396</f>
        <v>0</v>
      </c>
      <c r="BC396" s="88"/>
      <c r="BD396" s="88"/>
      <c r="BE396" s="88"/>
      <c r="BF396" s="88"/>
      <c r="BG396" s="88"/>
      <c r="BH396" s="88"/>
      <c r="BI396" s="88"/>
      <c r="BJ396" s="88"/>
      <c r="BK396" s="88"/>
      <c r="BL396" s="88"/>
      <c r="BM396" s="88"/>
      <c r="BN396" s="88"/>
      <c r="BO396" s="88"/>
      <c r="BP396" s="88"/>
      <c r="BQ396" s="88"/>
      <c r="BR396" s="175">
        <f t="shared" ref="BR396" si="677">SUM(X396:AA396)+AB396+AG396+AK396+AO396+AS396+AW396+BA396</f>
        <v>726</v>
      </c>
    </row>
    <row r="397" spans="2:70" ht="25.8" thickBot="1" x14ac:dyDescent="0.65">
      <c r="B397" s="1" t="s">
        <v>490</v>
      </c>
      <c r="C397" s="2" t="s">
        <v>23</v>
      </c>
      <c r="D397" s="13">
        <v>45799</v>
      </c>
      <c r="E397" s="3">
        <v>0</v>
      </c>
      <c r="F397" s="4">
        <f t="shared" ref="F397:F398" si="678">+E397*$C$1</f>
        <v>0</v>
      </c>
      <c r="G397" s="4">
        <f t="shared" ref="G397:G398" si="679">+BR397</f>
        <v>0</v>
      </c>
      <c r="H397" s="42">
        <f t="shared" ref="H397:H398" si="680">+F397+G397</f>
        <v>0</v>
      </c>
      <c r="I397" s="77">
        <v>15</v>
      </c>
      <c r="J397" s="89">
        <v>15</v>
      </c>
      <c r="K397" s="7"/>
      <c r="L397" s="79">
        <v>46529</v>
      </c>
      <c r="M397" s="37"/>
      <c r="N397" s="9" t="s">
        <v>309</v>
      </c>
      <c r="W397" s="1" t="s">
        <v>490</v>
      </c>
      <c r="X397" s="50"/>
      <c r="Y397" s="48"/>
      <c r="Z397" s="49"/>
      <c r="AA397" s="49"/>
      <c r="AB397" s="49"/>
      <c r="AC397" s="31"/>
      <c r="AD397" s="28"/>
      <c r="AE397" s="52"/>
      <c r="AF397" s="52"/>
      <c r="AG397" s="49"/>
      <c r="AH397" s="22"/>
      <c r="AI397" s="52"/>
      <c r="AJ397" s="52"/>
      <c r="AK397" s="49"/>
      <c r="AL397" s="69"/>
      <c r="AM397" s="52"/>
      <c r="AN397" s="52"/>
      <c r="AO397" s="85"/>
      <c r="AP397" s="84"/>
      <c r="AQ397" s="76"/>
      <c r="AR397" s="76"/>
      <c r="AS397" s="74"/>
      <c r="AT397" s="84"/>
      <c r="AU397" s="73"/>
      <c r="AV397" s="73"/>
      <c r="AW397" s="73"/>
      <c r="AX397" s="73"/>
      <c r="AY397" s="109">
        <f>+(0)+(0)+(0)+(0)</f>
        <v>0</v>
      </c>
      <c r="AZ397" s="109">
        <f t="shared" si="4"/>
        <v>0</v>
      </c>
      <c r="BA397" s="61">
        <v>0</v>
      </c>
      <c r="BB397" s="61">
        <f>(AX397+AY397+AZ397)-BA397</f>
        <v>0</v>
      </c>
      <c r="BD397" s="88">
        <v>0</v>
      </c>
      <c r="BE397" s="88">
        <v>0</v>
      </c>
      <c r="BF397" s="88">
        <v>0</v>
      </c>
      <c r="BG397" s="88">
        <v>0</v>
      </c>
      <c r="BH397" s="88">
        <v>0</v>
      </c>
      <c r="BI397" s="88">
        <v>0</v>
      </c>
      <c r="BJ397" s="88">
        <v>0</v>
      </c>
      <c r="BK397" s="88">
        <v>0</v>
      </c>
      <c r="BL397" s="88">
        <v>0</v>
      </c>
      <c r="BM397" s="88">
        <v>0</v>
      </c>
      <c r="BN397" s="88">
        <v>0</v>
      </c>
      <c r="BO397" s="88">
        <v>0</v>
      </c>
      <c r="BP397" s="88">
        <v>0</v>
      </c>
      <c r="BQ397" s="207">
        <f>+BB397+SUM(BD397:BG397)+SUM(BH397:BO397)-BP397</f>
        <v>0</v>
      </c>
      <c r="BR397" s="175">
        <f>SUM(X397:AA397)+AB397+AG397+AK397+AO397+AS397+AW397+BA397+BP397</f>
        <v>0</v>
      </c>
    </row>
    <row r="398" spans="2:70" ht="25.8" thickBot="1" x14ac:dyDescent="0.65">
      <c r="B398" s="1" t="s">
        <v>484</v>
      </c>
      <c r="C398" s="2" t="s">
        <v>21</v>
      </c>
      <c r="D398" s="18">
        <v>45740</v>
      </c>
      <c r="E398" s="3">
        <v>0</v>
      </c>
      <c r="F398" s="4">
        <f t="shared" si="678"/>
        <v>0</v>
      </c>
      <c r="G398" s="4">
        <f t="shared" si="679"/>
        <v>0</v>
      </c>
      <c r="H398" s="42">
        <f t="shared" si="680"/>
        <v>0</v>
      </c>
      <c r="I398" s="77">
        <v>15</v>
      </c>
      <c r="J398" s="89">
        <v>15</v>
      </c>
      <c r="K398" s="7"/>
      <c r="L398" s="41">
        <v>46470</v>
      </c>
      <c r="M398" s="37"/>
      <c r="N398" s="9" t="s">
        <v>309</v>
      </c>
      <c r="W398" s="1" t="s">
        <v>484</v>
      </c>
      <c r="X398" s="50"/>
      <c r="Y398" s="48"/>
      <c r="Z398" s="49"/>
      <c r="AA398" s="49"/>
      <c r="AB398" s="49"/>
      <c r="AC398" s="31"/>
      <c r="AD398" s="28"/>
      <c r="AE398" s="52"/>
      <c r="AF398" s="52"/>
      <c r="AG398" s="49"/>
      <c r="AH398" s="22"/>
      <c r="AI398" s="52"/>
      <c r="AJ398" s="52"/>
      <c r="AK398" s="49"/>
      <c r="AL398" s="31"/>
      <c r="AM398" s="52"/>
      <c r="AN398" s="52"/>
      <c r="AO398" s="72"/>
      <c r="AP398" s="74"/>
      <c r="AQ398" s="76"/>
      <c r="AR398" s="76"/>
      <c r="AS398" s="74"/>
      <c r="AT398" s="74"/>
      <c r="AU398" s="73"/>
      <c r="AV398" s="73"/>
      <c r="AW398" s="73"/>
      <c r="AX398" s="73"/>
      <c r="AY398" s="109">
        <f t="shared" ref="AY398" si="681">+(0)+(0)+(0)+(0)</f>
        <v>0</v>
      </c>
      <c r="AZ398" s="109">
        <f t="shared" ref="AZ398" si="682">+(0)+(0)+(0)+(0)+(0)+(0)+(0)+(0)</f>
        <v>0</v>
      </c>
      <c r="BA398" s="61">
        <v>0</v>
      </c>
      <c r="BB398" s="61">
        <f t="shared" ref="BB398" si="683">(AX398+AY398+AZ398)-BA398</f>
        <v>0</v>
      </c>
      <c r="BD398" s="88">
        <v>0</v>
      </c>
      <c r="BE398" s="88">
        <v>0</v>
      </c>
      <c r="BF398" s="88">
        <v>0</v>
      </c>
      <c r="BG398" s="88">
        <v>0</v>
      </c>
      <c r="BH398" s="88">
        <v>0</v>
      </c>
      <c r="BI398" s="88">
        <v>0</v>
      </c>
      <c r="BJ398" s="88">
        <v>0</v>
      </c>
      <c r="BK398" s="88">
        <v>0</v>
      </c>
      <c r="BL398" s="88">
        <v>0</v>
      </c>
      <c r="BM398" s="88">
        <v>0</v>
      </c>
      <c r="BN398" s="88">
        <v>0</v>
      </c>
      <c r="BO398" s="88">
        <v>0</v>
      </c>
      <c r="BP398" s="88">
        <v>0</v>
      </c>
      <c r="BQ398" s="207">
        <f t="shared" ref="BQ398" si="684">+BB398+SUM(BD398:BG398)+SUM(BH398:BO398)-BP398</f>
        <v>0</v>
      </c>
      <c r="BR398" s="175">
        <f t="shared" ref="BR398" si="685">SUM(X398:AA398)+AB398+AG398+AK398+AO398+AS398+AW398+BA398+BP398</f>
        <v>0</v>
      </c>
    </row>
    <row r="399" spans="2:70" ht="25.8" thickBot="1" x14ac:dyDescent="0.65">
      <c r="B399" s="1" t="s">
        <v>466</v>
      </c>
      <c r="C399" s="2" t="s">
        <v>21</v>
      </c>
      <c r="D399" s="13">
        <v>43709</v>
      </c>
      <c r="E399" s="3">
        <v>4</v>
      </c>
      <c r="F399" s="4">
        <f t="shared" ref="F399:F407" si="686">+E399*$C$1</f>
        <v>2133.3200000000002</v>
      </c>
      <c r="G399" s="4">
        <f>+BR399</f>
        <v>900</v>
      </c>
      <c r="H399" s="42">
        <f>+F399+G399</f>
        <v>3033.32</v>
      </c>
      <c r="I399" s="77">
        <v>12</v>
      </c>
      <c r="J399" s="89">
        <v>12</v>
      </c>
      <c r="K399" s="7"/>
      <c r="L399" s="56">
        <v>46478</v>
      </c>
      <c r="M399" s="37"/>
      <c r="N399" s="9" t="s">
        <v>309</v>
      </c>
      <c r="W399" s="1" t="s">
        <v>397</v>
      </c>
      <c r="X399" s="50">
        <v>0</v>
      </c>
      <c r="Y399" s="48">
        <v>0</v>
      </c>
      <c r="Z399" s="49">
        <v>0</v>
      </c>
      <c r="AA399" s="49">
        <v>0</v>
      </c>
      <c r="AB399" s="49">
        <v>0</v>
      </c>
      <c r="AC399" s="31">
        <v>0</v>
      </c>
      <c r="AD399" s="28">
        <f>+AC399-AB399</f>
        <v>0</v>
      </c>
      <c r="AE399" s="52">
        <v>204</v>
      </c>
      <c r="AF399" s="52">
        <f>+(0)+(210)+(0)+(0)+(54)+(162)</f>
        <v>426</v>
      </c>
      <c r="AG399" s="49">
        <v>150</v>
      </c>
      <c r="AH399" s="22">
        <f>+AD399+(AE399+AF399)-AG399</f>
        <v>480</v>
      </c>
      <c r="AI399" s="52">
        <f>+(0)+(0)+(54)+(0)+(78)+(0)</f>
        <v>132</v>
      </c>
      <c r="AJ399" s="52">
        <f>+(186)+(0)+(0)+(0)+(0)+(0)</f>
        <v>186</v>
      </c>
      <c r="AK399" s="49">
        <v>150</v>
      </c>
      <c r="AL399" s="31">
        <f>+AH399+AI399+AJ399-AK399</f>
        <v>648</v>
      </c>
      <c r="AM399" s="52">
        <f>+(0)+(0)+(0)+(54)+(0)+(0)</f>
        <v>54</v>
      </c>
      <c r="AN399" s="52">
        <f t="shared" si="48"/>
        <v>0</v>
      </c>
      <c r="AO399" s="72">
        <v>150</v>
      </c>
      <c r="AP399" s="74">
        <f>+AL399+AM399+AN399-AO399</f>
        <v>552</v>
      </c>
      <c r="AQ399" s="76">
        <f t="shared" si="49"/>
        <v>0</v>
      </c>
      <c r="AR399" s="76">
        <f>+(0)+(108)+(0)+(0)+(0)+(0)</f>
        <v>108</v>
      </c>
      <c r="AS399" s="74">
        <v>150</v>
      </c>
      <c r="AT399" s="74">
        <f>+AP399+AQ399+AR399-AS399</f>
        <v>510</v>
      </c>
      <c r="AU399" s="73">
        <f t="shared" si="44"/>
        <v>0</v>
      </c>
      <c r="AV399" s="73">
        <f t="shared" si="30"/>
        <v>0</v>
      </c>
      <c r="AW399" s="73">
        <v>150</v>
      </c>
      <c r="AX399" s="73">
        <f>+AT399+AU399+AV399-AW399</f>
        <v>360</v>
      </c>
      <c r="AY399" s="109">
        <f>+(0)+(0)+(0)+(0)</f>
        <v>0</v>
      </c>
      <c r="AZ399" s="109">
        <f>+(0)+(0)+(0)+(0)+(0)+(0)+(0)+(0)</f>
        <v>0</v>
      </c>
      <c r="BA399" s="61">
        <v>150</v>
      </c>
      <c r="BB399" s="61">
        <f>(AX399+AY399+AZ399)-BA399</f>
        <v>210</v>
      </c>
      <c r="BD399" s="88">
        <v>0</v>
      </c>
      <c r="BE399" s="88">
        <v>0</v>
      </c>
      <c r="BF399" s="88">
        <v>0</v>
      </c>
      <c r="BG399" s="88">
        <v>0</v>
      </c>
      <c r="BH399" s="88">
        <v>0</v>
      </c>
      <c r="BI399" s="88">
        <v>0</v>
      </c>
      <c r="BJ399" s="88">
        <v>0</v>
      </c>
      <c r="BK399" s="88">
        <v>0</v>
      </c>
      <c r="BL399" s="88">
        <v>0</v>
      </c>
      <c r="BM399" s="88">
        <v>0</v>
      </c>
      <c r="BN399" s="88">
        <v>0</v>
      </c>
      <c r="BO399" s="88">
        <v>0</v>
      </c>
      <c r="BP399" s="88">
        <v>0</v>
      </c>
      <c r="BQ399" s="207">
        <f t="shared" ref="BQ399:BQ404" si="687">+BB399+SUM(BD399:BG399)+SUM(BH399:BO399)-BP399</f>
        <v>210</v>
      </c>
      <c r="BR399" s="175">
        <f t="shared" ref="BR399:BR404" si="688">SUM(X399:AA399)+AB399+AG399+AK399+AO399+AS399+AW399+BA399+BP399</f>
        <v>900</v>
      </c>
    </row>
    <row r="400" spans="2:70" ht="25.8" thickBot="1" x14ac:dyDescent="0.65">
      <c r="B400" s="1" t="s">
        <v>424</v>
      </c>
      <c r="C400" s="2" t="s">
        <v>21</v>
      </c>
      <c r="D400" s="13">
        <v>45292</v>
      </c>
      <c r="E400" s="3">
        <v>1</v>
      </c>
      <c r="F400" s="4">
        <f t="shared" si="686"/>
        <v>533.33000000000004</v>
      </c>
      <c r="G400" s="4">
        <f t="shared" ref="G400" si="689">+BR400</f>
        <v>498</v>
      </c>
      <c r="H400" s="42">
        <f t="shared" ref="H400" si="690">+F400+G400</f>
        <v>1031.33</v>
      </c>
      <c r="I400" s="77">
        <v>14</v>
      </c>
      <c r="J400" s="89">
        <v>14</v>
      </c>
      <c r="K400" s="7"/>
      <c r="L400" s="41">
        <v>46218</v>
      </c>
      <c r="M400" s="37"/>
      <c r="N400" s="9" t="s">
        <v>309</v>
      </c>
      <c r="W400" s="1" t="s">
        <v>424</v>
      </c>
      <c r="X400" s="68">
        <v>198</v>
      </c>
      <c r="Y400" s="48">
        <v>0</v>
      </c>
      <c r="Z400" s="49">
        <v>0</v>
      </c>
      <c r="AA400" s="49">
        <v>0</v>
      </c>
      <c r="AB400" s="49">
        <v>0</v>
      </c>
      <c r="AC400" s="31">
        <v>0</v>
      </c>
      <c r="AD400" s="28">
        <f>+AC400-AB400</f>
        <v>0</v>
      </c>
      <c r="AE400" s="52">
        <v>0</v>
      </c>
      <c r="AF400" s="52">
        <v>0</v>
      </c>
      <c r="AG400" s="49">
        <v>0</v>
      </c>
      <c r="AH400" s="22">
        <f>+AD400+(AE400+AF400)-AG400</f>
        <v>0</v>
      </c>
      <c r="AI400" s="52">
        <v>0</v>
      </c>
      <c r="AJ400" s="52">
        <v>0</v>
      </c>
      <c r="AK400" s="49">
        <v>0</v>
      </c>
      <c r="AL400" s="31">
        <f>+AH400+AI400+AJ400-AK400</f>
        <v>0</v>
      </c>
      <c r="AM400" s="52">
        <v>0</v>
      </c>
      <c r="AN400" s="52">
        <v>0</v>
      </c>
      <c r="AO400" s="72">
        <v>0</v>
      </c>
      <c r="AP400" s="74">
        <f>+AL400+AM400+AN400-AO400</f>
        <v>0</v>
      </c>
      <c r="AQ400" s="76">
        <v>0</v>
      </c>
      <c r="AR400" s="76">
        <v>0</v>
      </c>
      <c r="AS400" s="74">
        <v>0</v>
      </c>
      <c r="AT400" s="74">
        <f>+AP400+AQ400+AR400-AS400</f>
        <v>0</v>
      </c>
      <c r="AU400" s="73">
        <f t="shared" si="257"/>
        <v>0</v>
      </c>
      <c r="AV400" s="73">
        <f>+(0)+(0)+(0)+(0)+(0)+(108)+(170.4)+(54.6)</f>
        <v>333</v>
      </c>
      <c r="AW400" s="74">
        <v>150</v>
      </c>
      <c r="AX400" s="74">
        <f>+AT400+AU400+AV400-AW400</f>
        <v>183</v>
      </c>
      <c r="AY400" s="109">
        <f t="shared" si="241"/>
        <v>0</v>
      </c>
      <c r="AZ400" s="109">
        <f t="shared" si="244"/>
        <v>0</v>
      </c>
      <c r="BA400" s="61">
        <v>150</v>
      </c>
      <c r="BB400" s="61">
        <f>(AX400+AY400+AZ400)-BA400</f>
        <v>33</v>
      </c>
      <c r="BD400" s="88">
        <v>0</v>
      </c>
      <c r="BE400" s="88">
        <v>0</v>
      </c>
      <c r="BF400" s="88">
        <v>0</v>
      </c>
      <c r="BG400" s="88">
        <v>0</v>
      </c>
      <c r="BH400" s="88">
        <v>0</v>
      </c>
      <c r="BI400" s="88">
        <v>0</v>
      </c>
      <c r="BJ400" s="88">
        <v>0</v>
      </c>
      <c r="BK400" s="88">
        <v>0</v>
      </c>
      <c r="BL400" s="88">
        <v>0</v>
      </c>
      <c r="BM400" s="88">
        <v>0</v>
      </c>
      <c r="BN400" s="88">
        <v>0</v>
      </c>
      <c r="BO400" s="88">
        <v>0</v>
      </c>
      <c r="BP400" s="88">
        <v>0</v>
      </c>
      <c r="BQ400" s="207">
        <f t="shared" si="687"/>
        <v>33</v>
      </c>
      <c r="BR400" s="175">
        <f t="shared" si="688"/>
        <v>498</v>
      </c>
    </row>
    <row r="401" spans="2:70" ht="25.8" thickBot="1" x14ac:dyDescent="0.65">
      <c r="B401" s="1" t="s">
        <v>401</v>
      </c>
      <c r="C401" s="2" t="s">
        <v>23</v>
      </c>
      <c r="D401" s="13">
        <v>45044</v>
      </c>
      <c r="E401" s="3">
        <v>1</v>
      </c>
      <c r="F401" s="4">
        <f t="shared" si="686"/>
        <v>533.33000000000004</v>
      </c>
      <c r="G401" s="4">
        <f>+BR401</f>
        <v>174</v>
      </c>
      <c r="H401" s="42">
        <f>+F401+G401</f>
        <v>707.33</v>
      </c>
      <c r="I401" s="77">
        <v>15</v>
      </c>
      <c r="J401" s="89">
        <v>15</v>
      </c>
      <c r="K401" s="7"/>
      <c r="L401" s="41">
        <v>46505</v>
      </c>
      <c r="M401" s="37"/>
      <c r="N401" s="9" t="s">
        <v>309</v>
      </c>
      <c r="W401" s="1" t="s">
        <v>401</v>
      </c>
      <c r="X401" s="50">
        <v>0</v>
      </c>
      <c r="Y401" s="49">
        <v>0</v>
      </c>
      <c r="Z401" s="49">
        <v>0</v>
      </c>
      <c r="AA401" s="49">
        <v>0</v>
      </c>
      <c r="AB401" s="49">
        <v>0</v>
      </c>
      <c r="AC401" s="31">
        <v>0</v>
      </c>
      <c r="AD401" s="28">
        <f t="shared" ref="AD401" si="691">+AC401-AB401</f>
        <v>0</v>
      </c>
      <c r="AE401" s="52">
        <v>0</v>
      </c>
      <c r="AF401" s="52">
        <v>0</v>
      </c>
      <c r="AG401" s="49">
        <v>0</v>
      </c>
      <c r="AH401" s="22">
        <f t="shared" ref="AH401" si="692">+AD401+(AE401+AF401)-AG401</f>
        <v>0</v>
      </c>
      <c r="AI401" s="52">
        <v>0</v>
      </c>
      <c r="AJ401" s="52">
        <v>0</v>
      </c>
      <c r="AK401" s="49">
        <v>0</v>
      </c>
      <c r="AL401" s="69">
        <f t="shared" ref="AL401" si="693">+AH401+AI401+AJ401-AK401</f>
        <v>0</v>
      </c>
      <c r="AM401" s="52">
        <f t="shared" si="339"/>
        <v>0</v>
      </c>
      <c r="AN401" s="52">
        <f t="shared" si="339"/>
        <v>0</v>
      </c>
      <c r="AO401" s="72">
        <v>0</v>
      </c>
      <c r="AP401" s="74">
        <f t="shared" ref="AP401" si="694">+AL401+AM401+AN401-AO401</f>
        <v>0</v>
      </c>
      <c r="AQ401" s="76">
        <f t="shared" si="340"/>
        <v>0</v>
      </c>
      <c r="AR401" s="76">
        <f t="shared" si="340"/>
        <v>0</v>
      </c>
      <c r="AS401" s="74">
        <v>0</v>
      </c>
      <c r="AT401" s="74">
        <f t="shared" ref="AT401" si="695">+AP401+AQ401+AR401-AS401</f>
        <v>0</v>
      </c>
      <c r="AU401" s="73">
        <f t="shared" si="257"/>
        <v>0</v>
      </c>
      <c r="AV401" s="73">
        <f>+(0)+(0)+(96)+(0)+(0)+(0)+(0)+(0)</f>
        <v>96</v>
      </c>
      <c r="AW401" s="73">
        <v>96</v>
      </c>
      <c r="AX401" s="73">
        <f>+AT401+AU401+AV401-AW401</f>
        <v>0</v>
      </c>
      <c r="AY401" s="109">
        <f>+(78)+(0)+(0)+(0)</f>
        <v>78</v>
      </c>
      <c r="AZ401" s="109">
        <f t="shared" ref="AZ401" si="696">+(0)+(0)+(0)+(0)+(0)+(0)+(0)+(0)</f>
        <v>0</v>
      </c>
      <c r="BA401" s="61">
        <v>78</v>
      </c>
      <c r="BB401" s="61">
        <f>(AX401+AY401+AZ401)-BA401</f>
        <v>0</v>
      </c>
      <c r="BD401" s="88">
        <v>0</v>
      </c>
      <c r="BE401" s="88">
        <v>0</v>
      </c>
      <c r="BF401" s="88">
        <v>0</v>
      </c>
      <c r="BG401" s="88">
        <v>0</v>
      </c>
      <c r="BH401" s="88">
        <v>0</v>
      </c>
      <c r="BI401" s="88">
        <v>0</v>
      </c>
      <c r="BJ401" s="88">
        <v>0</v>
      </c>
      <c r="BK401" s="88">
        <v>0</v>
      </c>
      <c r="BL401" s="88">
        <v>0</v>
      </c>
      <c r="BM401" s="88">
        <v>0</v>
      </c>
      <c r="BN401" s="88">
        <v>0</v>
      </c>
      <c r="BO401" s="88">
        <v>0</v>
      </c>
      <c r="BP401" s="88">
        <v>0</v>
      </c>
      <c r="BQ401" s="207">
        <f t="shared" si="687"/>
        <v>0</v>
      </c>
      <c r="BR401" s="175">
        <f t="shared" si="688"/>
        <v>174</v>
      </c>
    </row>
    <row r="402" spans="2:70" ht="25.8" thickBot="1" x14ac:dyDescent="0.65">
      <c r="B402" s="1" t="s">
        <v>495</v>
      </c>
      <c r="C402" s="2" t="s">
        <v>171</v>
      </c>
      <c r="D402" s="13">
        <v>45810</v>
      </c>
      <c r="E402" s="3">
        <v>0</v>
      </c>
      <c r="F402" s="4">
        <f t="shared" si="686"/>
        <v>0</v>
      </c>
      <c r="G402" s="4">
        <f t="shared" ref="G402" si="697">+BR402</f>
        <v>0</v>
      </c>
      <c r="H402" s="42">
        <f t="shared" ref="H402" si="698">+F402+G402</f>
        <v>0</v>
      </c>
      <c r="I402" s="77">
        <v>15</v>
      </c>
      <c r="J402" s="89">
        <v>15</v>
      </c>
      <c r="K402" s="7"/>
      <c r="L402" s="195" t="s">
        <v>442</v>
      </c>
      <c r="M402" s="7"/>
      <c r="N402" s="9" t="s">
        <v>309</v>
      </c>
      <c r="W402" s="1" t="s">
        <v>495</v>
      </c>
      <c r="X402" s="50"/>
      <c r="Y402" s="48"/>
      <c r="Z402" s="49"/>
      <c r="AA402" s="49"/>
      <c r="AB402" s="49"/>
      <c r="AC402" s="31"/>
      <c r="AD402" s="28"/>
      <c r="AE402" s="52"/>
      <c r="AF402" s="52"/>
      <c r="AG402" s="49"/>
      <c r="AH402" s="22"/>
      <c r="AI402" s="52"/>
      <c r="AJ402" s="52"/>
      <c r="AK402" s="49"/>
      <c r="AL402" s="31"/>
      <c r="AM402" s="52"/>
      <c r="AN402" s="52"/>
      <c r="AO402" s="72"/>
      <c r="AP402" s="74"/>
      <c r="AQ402" s="76"/>
      <c r="AR402" s="76"/>
      <c r="AS402" s="74"/>
      <c r="AT402" s="74"/>
      <c r="AU402" s="73"/>
      <c r="AV402" s="73"/>
      <c r="AW402" s="74"/>
      <c r="AX402" s="74"/>
      <c r="AY402" s="109">
        <f t="shared" si="123"/>
        <v>0</v>
      </c>
      <c r="AZ402" s="109">
        <f t="shared" si="111"/>
        <v>0</v>
      </c>
      <c r="BA402" s="61">
        <v>0</v>
      </c>
      <c r="BB402" s="61">
        <f t="shared" ref="BB402" si="699">(AX402+AY402+AZ402)-BA402</f>
        <v>0</v>
      </c>
      <c r="BD402" s="88">
        <v>0</v>
      </c>
      <c r="BE402" s="88">
        <v>0</v>
      </c>
      <c r="BF402" s="88">
        <v>0</v>
      </c>
      <c r="BG402" s="88">
        <v>0</v>
      </c>
      <c r="BH402" s="88">
        <v>0</v>
      </c>
      <c r="BI402" s="88">
        <v>0</v>
      </c>
      <c r="BJ402" s="88">
        <v>0</v>
      </c>
      <c r="BK402" s="88">
        <v>0</v>
      </c>
      <c r="BL402" s="88">
        <v>0</v>
      </c>
      <c r="BM402" s="88">
        <v>0</v>
      </c>
      <c r="BN402" s="88">
        <v>0</v>
      </c>
      <c r="BO402" s="88">
        <v>0</v>
      </c>
      <c r="BP402" s="210">
        <v>0</v>
      </c>
      <c r="BQ402" s="208">
        <f t="shared" si="687"/>
        <v>0</v>
      </c>
      <c r="BR402" s="175">
        <f t="shared" si="688"/>
        <v>0</v>
      </c>
    </row>
    <row r="403" spans="2:70" ht="25.8" thickBot="1" x14ac:dyDescent="0.65">
      <c r="B403" s="1" t="s">
        <v>382</v>
      </c>
      <c r="C403" s="2" t="s">
        <v>20</v>
      </c>
      <c r="D403" s="1" t="s">
        <v>111</v>
      </c>
      <c r="E403" s="3">
        <v>15</v>
      </c>
      <c r="F403" s="4">
        <f t="shared" si="686"/>
        <v>7999.9500000000007</v>
      </c>
      <c r="G403" s="4">
        <f>+BR403</f>
        <v>3992</v>
      </c>
      <c r="H403" s="42">
        <f>+F403+G403</f>
        <v>11991.95</v>
      </c>
      <c r="I403" s="77">
        <v>1</v>
      </c>
      <c r="J403" s="89">
        <v>1</v>
      </c>
      <c r="K403" s="7"/>
      <c r="L403" s="40" t="s">
        <v>227</v>
      </c>
      <c r="M403" s="37"/>
      <c r="N403" s="9" t="s">
        <v>309</v>
      </c>
      <c r="W403" s="1" t="s">
        <v>382</v>
      </c>
      <c r="X403" s="50">
        <v>3158</v>
      </c>
      <c r="Y403" s="48">
        <v>96</v>
      </c>
      <c r="Z403" s="49">
        <v>96</v>
      </c>
      <c r="AA403" s="49">
        <v>96</v>
      </c>
      <c r="AB403" s="49">
        <v>150</v>
      </c>
      <c r="AC403" s="31">
        <v>252</v>
      </c>
      <c r="AD403" s="28">
        <f>+AC403-AB403</f>
        <v>102</v>
      </c>
      <c r="AE403" s="52">
        <v>156</v>
      </c>
      <c r="AF403" s="52">
        <f>+(0)+(0)+(0)+(0)+(0)+(108)</f>
        <v>108</v>
      </c>
      <c r="AG403" s="49">
        <v>150</v>
      </c>
      <c r="AH403" s="22">
        <f>+AD403+(AE403+AF403)-AG403</f>
        <v>216</v>
      </c>
      <c r="AI403" s="52">
        <f t="shared" ref="AI403:AJ403" si="700">+(0)+(0)+(0)+(0)+(0)+(0)</f>
        <v>0</v>
      </c>
      <c r="AJ403" s="52">
        <f t="shared" si="700"/>
        <v>0</v>
      </c>
      <c r="AK403" s="49">
        <v>150</v>
      </c>
      <c r="AL403" s="69">
        <f>+AH403+AI403+AJ403-AK403</f>
        <v>66</v>
      </c>
      <c r="AM403" s="52">
        <f>+(0)+(0)+(0)+(0)+(30)+(0)</f>
        <v>30</v>
      </c>
      <c r="AN403" s="52">
        <f t="shared" ref="AN403" si="701">+(0)+(0)+(0)+(0)+(0)+(0)</f>
        <v>0</v>
      </c>
      <c r="AO403" s="85">
        <v>96</v>
      </c>
      <c r="AP403" s="84">
        <f>+AL403+AM403+AN403-AO403</f>
        <v>0</v>
      </c>
      <c r="AQ403" s="76">
        <f t="shared" si="10"/>
        <v>0</v>
      </c>
      <c r="AR403" s="76">
        <f t="shared" si="10"/>
        <v>0</v>
      </c>
      <c r="AS403" s="74">
        <v>0</v>
      </c>
      <c r="AT403" s="84">
        <f>+AP403+AQ403+AR403-AS403</f>
        <v>0</v>
      </c>
      <c r="AU403" s="73">
        <f>+(0)+(0)+(0)+(0)</f>
        <v>0</v>
      </c>
      <c r="AV403" s="73">
        <f>+(0)+(0)+(0)+(0)+(0)+(0)+(0)+(0)</f>
        <v>0</v>
      </c>
      <c r="AW403" s="73">
        <v>0</v>
      </c>
      <c r="AX403" s="73">
        <f>+AT403+AU403+AV403-AW403</f>
        <v>0</v>
      </c>
      <c r="AY403" s="109">
        <f>+(0)+(0)+(0)+(0)</f>
        <v>0</v>
      </c>
      <c r="AZ403" s="109">
        <f t="shared" si="4"/>
        <v>0</v>
      </c>
      <c r="BA403" s="61">
        <v>0</v>
      </c>
      <c r="BB403" s="61">
        <f>(AX403+AY403+AZ403)-BA403</f>
        <v>0</v>
      </c>
      <c r="BD403" s="88">
        <v>0</v>
      </c>
      <c r="BE403" s="88">
        <v>0</v>
      </c>
      <c r="BF403" s="88">
        <v>0</v>
      </c>
      <c r="BG403" s="88">
        <v>0</v>
      </c>
      <c r="BH403" s="88">
        <v>0</v>
      </c>
      <c r="BI403" s="88">
        <v>0</v>
      </c>
      <c r="BJ403" s="88">
        <v>0</v>
      </c>
      <c r="BK403" s="88">
        <v>0</v>
      </c>
      <c r="BL403" s="88">
        <v>0</v>
      </c>
      <c r="BM403" s="88">
        <v>0</v>
      </c>
      <c r="BN403" s="88">
        <v>0</v>
      </c>
      <c r="BO403" s="88">
        <v>0</v>
      </c>
      <c r="BP403" s="209">
        <v>0</v>
      </c>
      <c r="BQ403" s="208">
        <f t="shared" si="687"/>
        <v>0</v>
      </c>
      <c r="BR403" s="175">
        <f t="shared" si="688"/>
        <v>3992</v>
      </c>
    </row>
    <row r="404" spans="2:70" ht="25.8" thickBot="1" x14ac:dyDescent="0.65">
      <c r="B404" s="1" t="s">
        <v>472</v>
      </c>
      <c r="C404" s="2" t="s">
        <v>20</v>
      </c>
      <c r="D404" s="18">
        <v>45789</v>
      </c>
      <c r="E404" s="3">
        <v>0</v>
      </c>
      <c r="F404" s="4">
        <f t="shared" si="686"/>
        <v>0</v>
      </c>
      <c r="G404" s="4">
        <f t="shared" ref="G404" si="702">+BR404</f>
        <v>0</v>
      </c>
      <c r="H404" s="42">
        <f t="shared" ref="H404" si="703">+F404+G404</f>
        <v>0</v>
      </c>
      <c r="I404" s="77">
        <v>15</v>
      </c>
      <c r="J404" s="89">
        <v>15</v>
      </c>
      <c r="K404" s="7"/>
      <c r="L404" s="82">
        <v>46519</v>
      </c>
      <c r="M404" s="37"/>
      <c r="N404" s="9" t="s">
        <v>309</v>
      </c>
      <c r="W404" s="1" t="s">
        <v>472</v>
      </c>
      <c r="X404" s="50"/>
      <c r="Y404" s="48"/>
      <c r="Z404" s="49"/>
      <c r="AA404" s="49"/>
      <c r="AB404" s="49"/>
      <c r="AC404" s="31"/>
      <c r="AD404" s="28"/>
      <c r="AE404" s="52"/>
      <c r="AF404" s="52"/>
      <c r="AG404" s="49"/>
      <c r="AH404" s="22"/>
      <c r="AI404" s="52"/>
      <c r="AJ404" s="52"/>
      <c r="AK404" s="49"/>
      <c r="AL404" s="31"/>
      <c r="AM404" s="52"/>
      <c r="AN404" s="52"/>
      <c r="AO404" s="72"/>
      <c r="AP404" s="74"/>
      <c r="AQ404" s="76"/>
      <c r="AR404" s="76"/>
      <c r="AS404" s="74"/>
      <c r="AT404" s="74"/>
      <c r="AU404" s="73"/>
      <c r="AV404" s="73"/>
      <c r="AW404" s="73"/>
      <c r="AX404" s="73"/>
      <c r="AY404" s="109">
        <f>+(0)+(0)+(0)+(0)</f>
        <v>0</v>
      </c>
      <c r="AZ404" s="109">
        <f>+(0)+(0)+(0)+(0)+(0)+(0)+(0)+(0)</f>
        <v>0</v>
      </c>
      <c r="BA404" s="61">
        <v>0</v>
      </c>
      <c r="BB404" s="61">
        <f>(AX404+AY404+AZ404)-BA404</f>
        <v>0</v>
      </c>
      <c r="BD404" s="88">
        <v>0</v>
      </c>
      <c r="BE404" s="88">
        <v>0</v>
      </c>
      <c r="BF404" s="88">
        <v>0</v>
      </c>
      <c r="BG404" s="88">
        <v>0</v>
      </c>
      <c r="BH404" s="88">
        <v>0</v>
      </c>
      <c r="BI404" s="88">
        <v>0</v>
      </c>
      <c r="BJ404" s="88">
        <v>0</v>
      </c>
      <c r="BK404" s="88">
        <v>0</v>
      </c>
      <c r="BL404" s="88">
        <v>0</v>
      </c>
      <c r="BM404" s="88">
        <v>0</v>
      </c>
      <c r="BN404" s="88">
        <v>0</v>
      </c>
      <c r="BO404" s="88">
        <v>0</v>
      </c>
      <c r="BP404" s="210">
        <v>0</v>
      </c>
      <c r="BQ404" s="208">
        <f t="shared" si="687"/>
        <v>0</v>
      </c>
      <c r="BR404" s="175">
        <f t="shared" si="688"/>
        <v>0</v>
      </c>
    </row>
    <row r="405" spans="2:70" ht="25.8" thickBot="1" x14ac:dyDescent="0.65">
      <c r="B405" s="1" t="s">
        <v>512</v>
      </c>
      <c r="C405" s="2" t="s">
        <v>21</v>
      </c>
      <c r="D405" s="18">
        <v>45881</v>
      </c>
      <c r="E405" s="3">
        <v>0</v>
      </c>
      <c r="F405" s="4">
        <f t="shared" si="686"/>
        <v>0</v>
      </c>
      <c r="G405" s="4">
        <f t="shared" ref="G405" si="704">+BR405</f>
        <v>0</v>
      </c>
      <c r="H405" s="42">
        <f t="shared" ref="H405" si="705">+F405+G405</f>
        <v>0</v>
      </c>
      <c r="I405" s="77">
        <v>15</v>
      </c>
      <c r="J405" s="89">
        <v>15</v>
      </c>
      <c r="K405" s="7"/>
      <c r="L405" s="39">
        <v>46611</v>
      </c>
      <c r="M405" s="37"/>
      <c r="N405" s="9" t="s">
        <v>309</v>
      </c>
      <c r="W405" s="1" t="s">
        <v>512</v>
      </c>
      <c r="X405" s="50"/>
      <c r="Y405" s="48"/>
      <c r="Z405" s="49"/>
      <c r="AA405" s="49"/>
      <c r="AB405" s="49"/>
      <c r="AC405" s="31"/>
      <c r="AD405" s="28"/>
      <c r="AE405" s="52"/>
      <c r="AF405" s="52"/>
      <c r="AG405" s="49"/>
      <c r="AH405" s="22"/>
      <c r="AI405" s="52"/>
      <c r="AJ405" s="52"/>
      <c r="AK405" s="49"/>
      <c r="AL405" s="31"/>
      <c r="AM405" s="52"/>
      <c r="AN405" s="52"/>
      <c r="AO405" s="72"/>
      <c r="AP405" s="74"/>
      <c r="AQ405" s="76"/>
      <c r="AR405" s="76"/>
      <c r="AS405" s="74"/>
      <c r="AT405" s="74"/>
      <c r="AU405" s="73"/>
      <c r="AV405" s="73"/>
      <c r="AW405" s="73"/>
      <c r="AX405" s="73"/>
      <c r="AY405" s="109">
        <f>+(0)+(0)+(0)+(0)</f>
        <v>0</v>
      </c>
      <c r="AZ405" s="109">
        <f>+(0)+(0)+(0)+(0)+(0)+(0)+(0)+(0)</f>
        <v>0</v>
      </c>
      <c r="BA405" s="61">
        <v>0</v>
      </c>
      <c r="BB405" s="61">
        <f t="shared" ref="BB405" si="706">(AX405+AY405+AZ405)-BA405</f>
        <v>0</v>
      </c>
      <c r="BD405" s="88">
        <v>0</v>
      </c>
      <c r="BE405" s="88">
        <v>0</v>
      </c>
      <c r="BF405" s="88">
        <v>0</v>
      </c>
      <c r="BG405" s="88">
        <v>0</v>
      </c>
      <c r="BH405" s="88">
        <v>0</v>
      </c>
      <c r="BI405" s="88">
        <v>0</v>
      </c>
      <c r="BJ405" s="88">
        <v>0</v>
      </c>
      <c r="BK405" s="88">
        <v>0</v>
      </c>
      <c r="BL405" s="88">
        <v>0</v>
      </c>
      <c r="BM405" s="88">
        <v>0</v>
      </c>
      <c r="BN405" s="88">
        <v>0</v>
      </c>
      <c r="BO405" s="88">
        <v>0</v>
      </c>
      <c r="BP405" s="210">
        <v>0</v>
      </c>
      <c r="BQ405" s="208">
        <f t="shared" ref="BQ405" si="707">+BB405+SUM(BD405:BG405)+SUM(BH405:BO405)-BP405</f>
        <v>0</v>
      </c>
      <c r="BR405" s="175">
        <f t="shared" ref="BR405" si="708">SUM(X405:AA405)+AB405+AG405+AK405+AO405+AS405+AW405+BA405+BP405</f>
        <v>0</v>
      </c>
    </row>
    <row r="406" spans="2:70" ht="25.8" thickBot="1" x14ac:dyDescent="0.65">
      <c r="B406" s="1" t="s">
        <v>410</v>
      </c>
      <c r="C406" s="2" t="s">
        <v>21</v>
      </c>
      <c r="D406" s="13">
        <v>45147</v>
      </c>
      <c r="E406" s="3">
        <v>0</v>
      </c>
      <c r="F406" s="4">
        <f t="shared" si="686"/>
        <v>0</v>
      </c>
      <c r="G406" s="4">
        <f t="shared" ref="G406" si="709">+BR406</f>
        <v>126</v>
      </c>
      <c r="H406" s="42">
        <f t="shared" ref="H406" si="710">+F406+G406</f>
        <v>126</v>
      </c>
      <c r="I406" s="77">
        <v>15</v>
      </c>
      <c r="J406" s="89">
        <v>15</v>
      </c>
      <c r="K406" s="7"/>
      <c r="L406" s="195" t="s">
        <v>442</v>
      </c>
      <c r="M406" s="7"/>
      <c r="N406" s="9" t="s">
        <v>309</v>
      </c>
      <c r="W406" s="1" t="s">
        <v>410</v>
      </c>
      <c r="X406" s="50">
        <v>0</v>
      </c>
      <c r="Y406" s="48">
        <v>0</v>
      </c>
      <c r="Z406" s="49">
        <v>0</v>
      </c>
      <c r="AA406" s="49">
        <v>0</v>
      </c>
      <c r="AB406" s="49">
        <v>0</v>
      </c>
      <c r="AC406" s="31">
        <v>0</v>
      </c>
      <c r="AD406" s="28">
        <f>+AC406-AB406</f>
        <v>0</v>
      </c>
      <c r="AE406" s="52">
        <v>0</v>
      </c>
      <c r="AF406" s="52">
        <v>0</v>
      </c>
      <c r="AG406" s="49">
        <v>0</v>
      </c>
      <c r="AH406" s="22">
        <f>+AD406+(AE406+AF406)-AG406</f>
        <v>0</v>
      </c>
      <c r="AI406" s="52">
        <v>0</v>
      </c>
      <c r="AJ406" s="52">
        <v>0</v>
      </c>
      <c r="AK406" s="49">
        <v>0</v>
      </c>
      <c r="AL406" s="31">
        <f>+AH406+AI406+AJ406-AK406</f>
        <v>0</v>
      </c>
      <c r="AM406" s="52">
        <v>0</v>
      </c>
      <c r="AN406" s="52">
        <v>0</v>
      </c>
      <c r="AO406" s="72">
        <v>0</v>
      </c>
      <c r="AP406" s="74">
        <f>+AL406+AM406+AN406-AO406</f>
        <v>0</v>
      </c>
      <c r="AQ406" s="76">
        <f t="shared" si="83"/>
        <v>0</v>
      </c>
      <c r="AR406" s="76">
        <f t="shared" si="83"/>
        <v>0</v>
      </c>
      <c r="AS406" s="74">
        <v>0</v>
      </c>
      <c r="AT406" s="74">
        <f>+AP406+AQ406+AR406-AS406</f>
        <v>0</v>
      </c>
      <c r="AU406" s="73">
        <f t="shared" si="257"/>
        <v>0</v>
      </c>
      <c r="AV406" s="73">
        <f t="shared" si="266"/>
        <v>0</v>
      </c>
      <c r="AW406" s="73">
        <v>0</v>
      </c>
      <c r="AX406" s="73">
        <f>+AT406+AU406+AV406-AW406</f>
        <v>0</v>
      </c>
      <c r="AY406" s="109">
        <f t="shared" si="241"/>
        <v>0</v>
      </c>
      <c r="AZ406" s="109">
        <f>+(0)+(96)+(0)+(0)+(0)+(0)+(0)+(0)</f>
        <v>96</v>
      </c>
      <c r="BA406" s="61">
        <v>96</v>
      </c>
      <c r="BB406" s="61">
        <f>(AX406+AY406+AZ406)-BA406</f>
        <v>0</v>
      </c>
      <c r="BD406" s="153">
        <v>30</v>
      </c>
      <c r="BE406" s="88">
        <v>0</v>
      </c>
      <c r="BF406" s="88">
        <v>0</v>
      </c>
      <c r="BG406" s="88">
        <v>0</v>
      </c>
      <c r="BH406" s="88">
        <v>0</v>
      </c>
      <c r="BI406" s="88">
        <v>0</v>
      </c>
      <c r="BJ406" s="88">
        <v>0</v>
      </c>
      <c r="BK406" s="88">
        <v>0</v>
      </c>
      <c r="BL406" s="88">
        <v>0</v>
      </c>
      <c r="BM406" s="88">
        <v>0</v>
      </c>
      <c r="BN406" s="88">
        <v>0</v>
      </c>
      <c r="BO406" s="88">
        <v>0</v>
      </c>
      <c r="BP406" s="210">
        <v>30</v>
      </c>
      <c r="BQ406" s="208">
        <f>+BB406+SUM(BD406:BG406)+SUM(BH406:BO406)-BP406</f>
        <v>0</v>
      </c>
      <c r="BR406" s="175">
        <f>SUM(X406:AA406)+AB406+AG406+AK406+AO406+AS406+AW406+BA406+BP406</f>
        <v>126</v>
      </c>
    </row>
    <row r="407" spans="2:70" ht="25.8" thickBot="1" x14ac:dyDescent="0.65">
      <c r="B407" s="1" t="s">
        <v>516</v>
      </c>
      <c r="C407" s="2" t="s">
        <v>171</v>
      </c>
      <c r="D407" s="18">
        <v>45908</v>
      </c>
      <c r="E407" s="3">
        <v>0</v>
      </c>
      <c r="F407" s="4">
        <f t="shared" si="686"/>
        <v>0</v>
      </c>
      <c r="G407" s="4">
        <f t="shared" ref="G407" si="711">+BR407</f>
        <v>0</v>
      </c>
      <c r="H407" s="42">
        <f>+F407+G407</f>
        <v>0</v>
      </c>
      <c r="I407" s="77">
        <v>15</v>
      </c>
      <c r="J407" s="89">
        <v>15</v>
      </c>
      <c r="K407" s="7"/>
      <c r="L407" s="41">
        <v>46638</v>
      </c>
      <c r="M407" s="37"/>
      <c r="N407" s="9" t="s">
        <v>309</v>
      </c>
      <c r="W407" s="1" t="s">
        <v>516</v>
      </c>
      <c r="X407" s="50"/>
      <c r="Y407" s="48"/>
      <c r="Z407" s="49"/>
      <c r="AA407" s="49"/>
      <c r="AB407" s="49"/>
      <c r="AC407" s="31"/>
      <c r="AD407" s="28"/>
      <c r="AE407" s="52"/>
      <c r="AF407" s="52"/>
      <c r="AG407" s="49"/>
      <c r="AH407" s="22"/>
      <c r="AI407" s="52"/>
      <c r="AJ407" s="52"/>
      <c r="AK407" s="49"/>
      <c r="AL407" s="31"/>
      <c r="AM407" s="52"/>
      <c r="AN407" s="52"/>
      <c r="AO407" s="22"/>
      <c r="AP407" s="74"/>
      <c r="AQ407" s="76"/>
      <c r="AR407" s="76"/>
      <c r="AS407" s="74"/>
      <c r="AT407" s="74"/>
      <c r="AU407" s="73"/>
      <c r="AV407" s="73"/>
      <c r="AW407" s="73"/>
      <c r="AX407" s="73"/>
      <c r="AY407" s="109"/>
      <c r="AZ407" s="109"/>
      <c r="BA407" s="61"/>
      <c r="BB407" s="61"/>
      <c r="BD407" s="88">
        <v>0</v>
      </c>
      <c r="BE407" s="88">
        <v>0</v>
      </c>
      <c r="BF407" s="88">
        <v>0</v>
      </c>
      <c r="BG407" s="88">
        <v>0</v>
      </c>
      <c r="BH407" s="88">
        <v>0</v>
      </c>
      <c r="BI407" s="88">
        <v>0</v>
      </c>
      <c r="BJ407" s="88">
        <v>0</v>
      </c>
      <c r="BK407" s="88">
        <v>0</v>
      </c>
      <c r="BL407" s="88">
        <v>0</v>
      </c>
      <c r="BM407" s="88">
        <v>0</v>
      </c>
      <c r="BN407" s="88">
        <v>0</v>
      </c>
      <c r="BO407" s="88">
        <v>0</v>
      </c>
      <c r="BP407" s="210">
        <v>0</v>
      </c>
      <c r="BQ407" s="208">
        <f t="shared" ref="BQ407" si="712">+BB407+SUM(BD407:BG407)+SUM(BH407:BO407)-BP407</f>
        <v>0</v>
      </c>
      <c r="BR407" s="175">
        <f t="shared" ref="BR407" si="713">SUM(X407:AA407)+AB407+AG407+AK407+AO407+AS407+AW407+BA407+BP407</f>
        <v>0</v>
      </c>
    </row>
  </sheetData>
  <autoFilter ref="B8:I210" xr:uid="{00000000-0001-0000-0000-000000000000}"/>
  <mergeCells count="6">
    <mergeCell ref="BD6:BG6"/>
    <mergeCell ref="BH6:BO6"/>
    <mergeCell ref="BD7:BG7"/>
    <mergeCell ref="BH7:BO7"/>
    <mergeCell ref="BD8:BG8"/>
    <mergeCell ref="BH8:BO8"/>
  </mergeCells>
  <pageMargins left="0.51181102362204722" right="0.51181102362204722" top="0.74803149606299213" bottom="0.74803149606299213" header="0.31496062992125984" footer="0.31496062992125984"/>
  <pageSetup scale="53" orientation="landscape" horizontalDpi="4294967293" verticalDpi="4294967293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BIENIOS SANTA ANSELMA</vt:lpstr>
      <vt:lpstr>'BIENIOS SANTA ANSELMA'!Área_de_impresión</vt:lpstr>
      <vt:lpstr>'BIENIOS SANTA ANSELMA'!Títulos_a_imprimir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PRINCIPAL</dc:creator>
  <cp:lastModifiedBy>Usuario de Windows</cp:lastModifiedBy>
  <cp:lastPrinted>2025-04-08T16:54:28Z</cp:lastPrinted>
  <dcterms:created xsi:type="dcterms:W3CDTF">2016-06-21T14:36:36Z</dcterms:created>
  <dcterms:modified xsi:type="dcterms:W3CDTF">2025-11-26T12:41:05Z</dcterms:modified>
</cp:coreProperties>
</file>