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STION SALUD LA CISTERNA\BIENIOS\WEB\"/>
    </mc:Choice>
  </mc:AlternateContent>
  <xr:revisionPtr revIDLastSave="0" documentId="8_{84A5D8E9-CA5C-4672-86D0-6AD2549E00B6}" xr6:coauthVersionLast="47" xr6:coauthVersionMax="47" xr10:uidLastSave="{00000000-0000-0000-0000-000000000000}"/>
  <bookViews>
    <workbookView xWindow="24" yWindow="600" windowWidth="23016" windowHeight="12360" xr2:uid="{00000000-000D-0000-FFFF-FFFF00000000}"/>
  </bookViews>
  <sheets>
    <sheet name="BIENIOS EDUARDO FREI M." sheetId="1" r:id="rId1"/>
  </sheets>
  <externalReferences>
    <externalReference r:id="rId2"/>
    <externalReference r:id="rId3"/>
  </externalReferences>
  <definedNames>
    <definedName name="_xlnm._FilterDatabase" localSheetId="0" hidden="1">'BIENIOS EDUARDO FREI M.'!$B$8:$I$213</definedName>
    <definedName name="_xlnm.Print_Area" localSheetId="0">'BIENIOS EDUARDO FREI M.'!$B$289:$N$289</definedName>
    <definedName name="_xlnm.Print_Titles" localSheetId="0">'BIENIOS EDUARDO FREI M.'!$6:$8</definedName>
  </definedNames>
  <calcPr calcId="191029"/>
</workbook>
</file>

<file path=xl/calcChain.xml><?xml version="1.0" encoding="utf-8"?>
<calcChain xmlns="http://schemas.openxmlformats.org/spreadsheetml/2006/main">
  <c r="BU149" i="1" l="1"/>
  <c r="G149" i="1" s="1"/>
  <c r="H149" i="1" s="1"/>
  <c r="BT149" i="1"/>
  <c r="F149" i="1"/>
  <c r="BU79" i="1"/>
  <c r="G79" i="1" s="1"/>
  <c r="BT79" i="1"/>
  <c r="F79" i="1"/>
  <c r="K220" i="1"/>
  <c r="BU400" i="1"/>
  <c r="G400" i="1" s="1"/>
  <c r="BC400" i="1"/>
  <c r="BB400" i="1"/>
  <c r="F400" i="1"/>
  <c r="BU207" i="1"/>
  <c r="BC207" i="1"/>
  <c r="BB207" i="1"/>
  <c r="AY207" i="1"/>
  <c r="AX207" i="1"/>
  <c r="AU207" i="1"/>
  <c r="AT207" i="1"/>
  <c r="AG207" i="1"/>
  <c r="AK207" i="1" s="1"/>
  <c r="AO207" i="1" s="1"/>
  <c r="AS207" i="1" s="1"/>
  <c r="G207" i="1"/>
  <c r="F207" i="1"/>
  <c r="BU213" i="1"/>
  <c r="BU212" i="1"/>
  <c r="BU211" i="1"/>
  <c r="BU210" i="1"/>
  <c r="BU209" i="1"/>
  <c r="BU208" i="1"/>
  <c r="BU206" i="1"/>
  <c r="BU205" i="1"/>
  <c r="BU204" i="1"/>
  <c r="BU203" i="1"/>
  <c r="BU202" i="1"/>
  <c r="BU201" i="1"/>
  <c r="BU200" i="1"/>
  <c r="BU199" i="1"/>
  <c r="BU198" i="1"/>
  <c r="BU197" i="1"/>
  <c r="BU196" i="1"/>
  <c r="BU195" i="1"/>
  <c r="BU194" i="1"/>
  <c r="BU193" i="1"/>
  <c r="BU192" i="1"/>
  <c r="BU191" i="1"/>
  <c r="BU190" i="1"/>
  <c r="BU189" i="1"/>
  <c r="BU188" i="1"/>
  <c r="BU187" i="1"/>
  <c r="BU186" i="1"/>
  <c r="BU185" i="1"/>
  <c r="BU184" i="1"/>
  <c r="BU183" i="1"/>
  <c r="BU182" i="1"/>
  <c r="BU181" i="1"/>
  <c r="BU180" i="1"/>
  <c r="BU179" i="1"/>
  <c r="BU178" i="1"/>
  <c r="BU177" i="1"/>
  <c r="BU176" i="1"/>
  <c r="BU175" i="1"/>
  <c r="BU174" i="1"/>
  <c r="BU173" i="1"/>
  <c r="BU172" i="1"/>
  <c r="BU171" i="1"/>
  <c r="BU170" i="1"/>
  <c r="BU169" i="1"/>
  <c r="BU168" i="1"/>
  <c r="BU167" i="1"/>
  <c r="BU166" i="1"/>
  <c r="BU165" i="1"/>
  <c r="BU164" i="1"/>
  <c r="BU163" i="1"/>
  <c r="BU162" i="1"/>
  <c r="BU161" i="1"/>
  <c r="BU160" i="1"/>
  <c r="BU159" i="1"/>
  <c r="BU158" i="1"/>
  <c r="BU157" i="1"/>
  <c r="BU156" i="1"/>
  <c r="BU399" i="1"/>
  <c r="BU155" i="1"/>
  <c r="BU154" i="1"/>
  <c r="BU153" i="1"/>
  <c r="BU152" i="1"/>
  <c r="BU151" i="1"/>
  <c r="BU150" i="1"/>
  <c r="BU148" i="1"/>
  <c r="BU147" i="1"/>
  <c r="BU146" i="1"/>
  <c r="BU145" i="1"/>
  <c r="BU144" i="1"/>
  <c r="BU143" i="1"/>
  <c r="BU141" i="1"/>
  <c r="BU140" i="1"/>
  <c r="BU139" i="1"/>
  <c r="BU138" i="1"/>
  <c r="BU137" i="1"/>
  <c r="BU136" i="1"/>
  <c r="BU134" i="1"/>
  <c r="BU133" i="1"/>
  <c r="BU132" i="1"/>
  <c r="BU131" i="1"/>
  <c r="BU130" i="1"/>
  <c r="BU129" i="1"/>
  <c r="BU128" i="1"/>
  <c r="BU127" i="1"/>
  <c r="BU126" i="1"/>
  <c r="BU125" i="1"/>
  <c r="BU124" i="1"/>
  <c r="BU123" i="1"/>
  <c r="BU122" i="1"/>
  <c r="BU121" i="1"/>
  <c r="BU398" i="1"/>
  <c r="BU120" i="1"/>
  <c r="BU119" i="1"/>
  <c r="BU118" i="1"/>
  <c r="BU117" i="1"/>
  <c r="BU116" i="1"/>
  <c r="BU115" i="1"/>
  <c r="BU114" i="1"/>
  <c r="BU113" i="1"/>
  <c r="BU112" i="1"/>
  <c r="BU111" i="1"/>
  <c r="BU110" i="1"/>
  <c r="BU109" i="1"/>
  <c r="BU108" i="1"/>
  <c r="BU107" i="1"/>
  <c r="BU106" i="1"/>
  <c r="BU105" i="1"/>
  <c r="BU104" i="1"/>
  <c r="BU103" i="1"/>
  <c r="BU102" i="1"/>
  <c r="BU101" i="1"/>
  <c r="BU397" i="1"/>
  <c r="BU100" i="1"/>
  <c r="BU99" i="1"/>
  <c r="BU98" i="1"/>
  <c r="BU97" i="1"/>
  <c r="BU96" i="1"/>
  <c r="BU95" i="1"/>
  <c r="BU94" i="1"/>
  <c r="BU401" i="1"/>
  <c r="BU93" i="1"/>
  <c r="BU92" i="1"/>
  <c r="BU404" i="1"/>
  <c r="BU91" i="1"/>
  <c r="BU90" i="1"/>
  <c r="BU89" i="1"/>
  <c r="BU88" i="1"/>
  <c r="BU87" i="1"/>
  <c r="BU86" i="1"/>
  <c r="BU85" i="1"/>
  <c r="BU84" i="1"/>
  <c r="BU83" i="1"/>
  <c r="BU82" i="1"/>
  <c r="BU81" i="1"/>
  <c r="BU80" i="1"/>
  <c r="BU78" i="1"/>
  <c r="BU77" i="1"/>
  <c r="BU76" i="1"/>
  <c r="BU75" i="1"/>
  <c r="BU74" i="1"/>
  <c r="BU73" i="1"/>
  <c r="BU72" i="1"/>
  <c r="BU71" i="1"/>
  <c r="BU70" i="1"/>
  <c r="BU69" i="1"/>
  <c r="BU68" i="1"/>
  <c r="BU67" i="1"/>
  <c r="BU66" i="1"/>
  <c r="BU65" i="1"/>
  <c r="BU64" i="1"/>
  <c r="BU63" i="1"/>
  <c r="BU62" i="1"/>
  <c r="BU61" i="1"/>
  <c r="BU396" i="1"/>
  <c r="BU60" i="1"/>
  <c r="BU59" i="1"/>
  <c r="BU58" i="1"/>
  <c r="BU57" i="1"/>
  <c r="BU56" i="1"/>
  <c r="BU55" i="1"/>
  <c r="BU54" i="1"/>
  <c r="BU53" i="1"/>
  <c r="BU52" i="1"/>
  <c r="BU51" i="1"/>
  <c r="BU50" i="1"/>
  <c r="BU49" i="1"/>
  <c r="BU403" i="1"/>
  <c r="BU48" i="1"/>
  <c r="BU47" i="1"/>
  <c r="BU46" i="1"/>
  <c r="BU45" i="1"/>
  <c r="BU44" i="1"/>
  <c r="BU43" i="1"/>
  <c r="BU42" i="1"/>
  <c r="BU41" i="1"/>
  <c r="BU40" i="1"/>
  <c r="BU39" i="1"/>
  <c r="BU38" i="1"/>
  <c r="BU37" i="1"/>
  <c r="BU36" i="1"/>
  <c r="BU402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C212" i="1"/>
  <c r="BC209" i="1"/>
  <c r="BC197" i="1"/>
  <c r="BC196" i="1"/>
  <c r="BC195" i="1"/>
  <c r="BC193" i="1"/>
  <c r="BC190" i="1"/>
  <c r="BC189" i="1"/>
  <c r="BC184" i="1"/>
  <c r="BC183" i="1"/>
  <c r="BC174" i="1"/>
  <c r="BC172" i="1"/>
  <c r="BC173" i="1"/>
  <c r="BC171" i="1"/>
  <c r="BC170" i="1"/>
  <c r="BC160" i="1"/>
  <c r="BC155" i="1"/>
  <c r="BC150" i="1"/>
  <c r="BC148" i="1"/>
  <c r="BC147" i="1"/>
  <c r="BC145" i="1"/>
  <c r="BC143" i="1"/>
  <c r="BC142" i="1"/>
  <c r="BC138" i="1"/>
  <c r="BC135" i="1"/>
  <c r="BC128" i="1"/>
  <c r="BC123" i="1"/>
  <c r="BC120" i="1"/>
  <c r="BC116" i="1"/>
  <c r="BC107" i="1"/>
  <c r="BC105" i="1"/>
  <c r="BC101" i="1"/>
  <c r="BC99" i="1"/>
  <c r="BC77" i="1"/>
  <c r="BC83" i="1"/>
  <c r="BC70" i="1"/>
  <c r="BC69" i="1"/>
  <c r="BC68" i="1"/>
  <c r="BC62" i="1"/>
  <c r="BC60" i="1"/>
  <c r="BC59" i="1"/>
  <c r="BC45" i="1"/>
  <c r="BC54" i="1"/>
  <c r="BC47" i="1"/>
  <c r="BC48" i="1"/>
  <c r="BC42" i="1"/>
  <c r="BC37" i="1"/>
  <c r="BC35" i="1"/>
  <c r="BC15" i="1"/>
  <c r="BC9" i="1"/>
  <c r="BE400" i="1" l="1"/>
  <c r="BT400" i="1" s="1"/>
  <c r="H79" i="1"/>
  <c r="AW207" i="1"/>
  <c r="BA207" i="1" s="1"/>
  <c r="BE207" i="1" s="1"/>
  <c r="BT207" i="1" s="1"/>
  <c r="H400" i="1"/>
  <c r="H207" i="1"/>
  <c r="G157" i="1"/>
  <c r="BC157" i="1"/>
  <c r="BB157" i="1"/>
  <c r="F157" i="1"/>
  <c r="BC213" i="1"/>
  <c r="BC181" i="1"/>
  <c r="BC180" i="1"/>
  <c r="BC179" i="1"/>
  <c r="BC159" i="1"/>
  <c r="BC158" i="1"/>
  <c r="BC153" i="1"/>
  <c r="BC137" i="1"/>
  <c r="BC129" i="1"/>
  <c r="BC125" i="1"/>
  <c r="BC113" i="1"/>
  <c r="BC100" i="1"/>
  <c r="BC93" i="1"/>
  <c r="BC71" i="1"/>
  <c r="BC63" i="1"/>
  <c r="BC50" i="1"/>
  <c r="BC41" i="1"/>
  <c r="BC28" i="1"/>
  <c r="BC27" i="1"/>
  <c r="BC25" i="1"/>
  <c r="BC16" i="1"/>
  <c r="BC10" i="1"/>
  <c r="BC194" i="1"/>
  <c r="BC166" i="1"/>
  <c r="BC165" i="1"/>
  <c r="BC144" i="1"/>
  <c r="H157" i="1" l="1"/>
  <c r="BE157" i="1"/>
  <c r="BT157" i="1" s="1"/>
  <c r="BC133" i="1"/>
  <c r="BC109" i="1"/>
  <c r="BC108" i="1"/>
  <c r="BC80" i="1"/>
  <c r="BC67" i="1"/>
  <c r="BC64" i="1"/>
  <c r="BC33" i="1"/>
  <c r="BC32" i="1"/>
  <c r="BC22" i="1"/>
  <c r="BC20" i="1"/>
  <c r="BC31" i="1" l="1"/>
  <c r="G164" i="1" l="1"/>
  <c r="BC164" i="1"/>
  <c r="BB164" i="1"/>
  <c r="AY164" i="1"/>
  <c r="AX164" i="1"/>
  <c r="AU164" i="1"/>
  <c r="AT164" i="1"/>
  <c r="AQ164" i="1"/>
  <c r="AP164" i="1"/>
  <c r="AM164" i="1"/>
  <c r="AL164" i="1"/>
  <c r="AI164" i="1"/>
  <c r="AG164" i="1"/>
  <c r="F164" i="1"/>
  <c r="G146" i="1"/>
  <c r="BC146" i="1"/>
  <c r="BB146" i="1"/>
  <c r="AY146" i="1"/>
  <c r="AX146" i="1"/>
  <c r="AU146" i="1"/>
  <c r="AT146" i="1"/>
  <c r="AQ146" i="1"/>
  <c r="AP146" i="1"/>
  <c r="AM146" i="1"/>
  <c r="AL146" i="1"/>
  <c r="AI146" i="1"/>
  <c r="AG146" i="1"/>
  <c r="F146" i="1"/>
  <c r="AK146" i="1" l="1"/>
  <c r="AO146" i="1" s="1"/>
  <c r="AS146" i="1" s="1"/>
  <c r="AW146" i="1" s="1"/>
  <c r="BA146" i="1" s="1"/>
  <c r="BE146" i="1" s="1"/>
  <c r="BT146" i="1" s="1"/>
  <c r="AK164" i="1"/>
  <c r="AO164" i="1" s="1"/>
  <c r="AS164" i="1" s="1"/>
  <c r="AW164" i="1" s="1"/>
  <c r="BA164" i="1" s="1"/>
  <c r="BE164" i="1" s="1"/>
  <c r="BT164" i="1" s="1"/>
  <c r="H164" i="1"/>
  <c r="H146" i="1"/>
  <c r="G178" i="1" l="1"/>
  <c r="BC178" i="1"/>
  <c r="BB178" i="1"/>
  <c r="F178" i="1"/>
  <c r="G398" i="1"/>
  <c r="BC398" i="1"/>
  <c r="BB398" i="1"/>
  <c r="F398" i="1"/>
  <c r="BU394" i="1"/>
  <c r="G394" i="1" s="1"/>
  <c r="BC394" i="1"/>
  <c r="BB394" i="1"/>
  <c r="F394" i="1"/>
  <c r="G401" i="1"/>
  <c r="BC401" i="1"/>
  <c r="BB401" i="1"/>
  <c r="F401" i="1"/>
  <c r="G18" i="1"/>
  <c r="BC18" i="1"/>
  <c r="BB18" i="1"/>
  <c r="F18" i="1"/>
  <c r="BC204" i="1"/>
  <c r="BC201" i="1"/>
  <c r="BC154" i="1"/>
  <c r="BC151" i="1"/>
  <c r="BC141" i="1"/>
  <c r="BC134" i="1"/>
  <c r="BC127" i="1"/>
  <c r="BC122" i="1"/>
  <c r="BC115" i="1"/>
  <c r="BC112" i="1"/>
  <c r="BC103" i="1"/>
  <c r="BC98" i="1"/>
  <c r="BC91" i="1"/>
  <c r="BC84" i="1"/>
  <c r="BC76" i="1"/>
  <c r="BC75" i="1"/>
  <c r="BC65" i="1"/>
  <c r="BC55" i="1"/>
  <c r="BC51" i="1"/>
  <c r="BC40" i="1"/>
  <c r="BC34" i="1"/>
  <c r="BE178" i="1" l="1"/>
  <c r="BT178" i="1" s="1"/>
  <c r="H178" i="1"/>
  <c r="BE398" i="1"/>
  <c r="BT398" i="1" s="1"/>
  <c r="H398" i="1"/>
  <c r="BE401" i="1"/>
  <c r="BT401" i="1" s="1"/>
  <c r="BE394" i="1"/>
  <c r="BE18" i="1"/>
  <c r="BT18" i="1" s="1"/>
  <c r="H394" i="1"/>
  <c r="H401" i="1"/>
  <c r="H18" i="1"/>
  <c r="G152" i="1"/>
  <c r="BC152" i="1"/>
  <c r="BB152" i="1"/>
  <c r="F152" i="1"/>
  <c r="G74" i="1"/>
  <c r="BC74" i="1"/>
  <c r="BB74" i="1"/>
  <c r="F74" i="1"/>
  <c r="BC188" i="1"/>
  <c r="BC167" i="1"/>
  <c r="BE152" i="1" l="1"/>
  <c r="BT152" i="1" s="1"/>
  <c r="BE74" i="1"/>
  <c r="BT74" i="1" s="1"/>
  <c r="H152" i="1"/>
  <c r="H74" i="1"/>
  <c r="BC111" i="1"/>
  <c r="BC110" i="1"/>
  <c r="BC104" i="1"/>
  <c r="BC397" i="1"/>
  <c r="BC87" i="1"/>
  <c r="BC13" i="1"/>
  <c r="BC58" i="1"/>
  <c r="BU395" i="1" l="1"/>
  <c r="G395" i="1" s="1"/>
  <c r="BC395" i="1"/>
  <c r="BB395" i="1"/>
  <c r="F395" i="1"/>
  <c r="BB160" i="1"/>
  <c r="G160" i="1"/>
  <c r="F160" i="1"/>
  <c r="BU393" i="1"/>
  <c r="G393" i="1" s="1"/>
  <c r="BC393" i="1"/>
  <c r="BB393" i="1"/>
  <c r="F393" i="1"/>
  <c r="G52" i="1"/>
  <c r="BC52" i="1"/>
  <c r="BB52" i="1"/>
  <c r="F52" i="1"/>
  <c r="G403" i="1"/>
  <c r="BC403" i="1"/>
  <c r="BB403" i="1"/>
  <c r="F403" i="1"/>
  <c r="BC205" i="1"/>
  <c r="BC192" i="1"/>
  <c r="BC191" i="1"/>
  <c r="BC186" i="1"/>
  <c r="BC185" i="1"/>
  <c r="BC182" i="1"/>
  <c r="BC177" i="1"/>
  <c r="BC168" i="1"/>
  <c r="BC163" i="1"/>
  <c r="BC162" i="1"/>
  <c r="BC161" i="1"/>
  <c r="BC140" i="1"/>
  <c r="BC130" i="1"/>
  <c r="BC97" i="1"/>
  <c r="BC78" i="1"/>
  <c r="BC66" i="1"/>
  <c r="BC61" i="1"/>
  <c r="BC396" i="1"/>
  <c r="BC43" i="1"/>
  <c r="BC39" i="1"/>
  <c r="BE393" i="1" l="1"/>
  <c r="BE395" i="1"/>
  <c r="H395" i="1"/>
  <c r="BE52" i="1"/>
  <c r="BT52" i="1" s="1"/>
  <c r="H52" i="1"/>
  <c r="H160" i="1"/>
  <c r="BE160" i="1"/>
  <c r="BT160" i="1" s="1"/>
  <c r="H393" i="1"/>
  <c r="BE403" i="1"/>
  <c r="BT403" i="1" s="1"/>
  <c r="H403" i="1"/>
  <c r="F28" i="1"/>
  <c r="G198" i="1" l="1"/>
  <c r="BC198" i="1"/>
  <c r="BB198" i="1"/>
  <c r="F198" i="1"/>
  <c r="BU390" i="1"/>
  <c r="G390" i="1" s="1"/>
  <c r="BC390" i="1"/>
  <c r="BB390" i="1"/>
  <c r="Z390" i="1"/>
  <c r="F390" i="1"/>
  <c r="G128" i="1"/>
  <c r="BB128" i="1"/>
  <c r="Z128" i="1"/>
  <c r="N128" i="1"/>
  <c r="N129" i="1"/>
  <c r="F128" i="1"/>
  <c r="BU389" i="1"/>
  <c r="G389" i="1" s="1"/>
  <c r="BC389" i="1"/>
  <c r="BB389" i="1"/>
  <c r="F389" i="1"/>
  <c r="BU388" i="1"/>
  <c r="G388" i="1" s="1"/>
  <c r="BC388" i="1"/>
  <c r="BB388" i="1"/>
  <c r="F388" i="1"/>
  <c r="G53" i="1"/>
  <c r="BC53" i="1"/>
  <c r="BB53" i="1"/>
  <c r="F53" i="1"/>
  <c r="G38" i="1"/>
  <c r="BC38" i="1"/>
  <c r="BB38" i="1"/>
  <c r="F38" i="1"/>
  <c r="G402" i="1"/>
  <c r="BC402" i="1"/>
  <c r="BB402" i="1"/>
  <c r="F402" i="1"/>
  <c r="G30" i="1"/>
  <c r="BC30" i="1"/>
  <c r="BB30" i="1"/>
  <c r="F30" i="1"/>
  <c r="G205" i="1"/>
  <c r="BB205" i="1"/>
  <c r="AY205" i="1"/>
  <c r="AX205" i="1"/>
  <c r="AU205" i="1"/>
  <c r="AT205" i="1"/>
  <c r="AG205" i="1"/>
  <c r="AK205" i="1" s="1"/>
  <c r="AO205" i="1" s="1"/>
  <c r="AS205" i="1" s="1"/>
  <c r="F205" i="1"/>
  <c r="G31" i="1"/>
  <c r="BB31" i="1"/>
  <c r="AY31" i="1"/>
  <c r="AX31" i="1"/>
  <c r="AU31" i="1"/>
  <c r="AT31" i="1"/>
  <c r="AQ31" i="1"/>
  <c r="AP31" i="1"/>
  <c r="AK31" i="1"/>
  <c r="AO31" i="1" s="1"/>
  <c r="F31" i="1"/>
  <c r="H198" i="1" l="1"/>
  <c r="BE390" i="1"/>
  <c r="BE53" i="1"/>
  <c r="BT53" i="1" s="1"/>
  <c r="BE198" i="1"/>
  <c r="BT198" i="1" s="1"/>
  <c r="BE388" i="1"/>
  <c r="BE128" i="1"/>
  <c r="BT128" i="1" s="1"/>
  <c r="H390" i="1"/>
  <c r="H128" i="1"/>
  <c r="H389" i="1"/>
  <c r="BE389" i="1"/>
  <c r="H388" i="1"/>
  <c r="BE30" i="1"/>
  <c r="BT30" i="1" s="1"/>
  <c r="BE38" i="1"/>
  <c r="BT38" i="1" s="1"/>
  <c r="H53" i="1"/>
  <c r="H38" i="1"/>
  <c r="BE402" i="1"/>
  <c r="BT402" i="1" s="1"/>
  <c r="H402" i="1"/>
  <c r="H30" i="1"/>
  <c r="AW205" i="1"/>
  <c r="BA205" i="1" s="1"/>
  <c r="BE205" i="1" s="1"/>
  <c r="BT205" i="1" s="1"/>
  <c r="AS31" i="1"/>
  <c r="AW31" i="1" s="1"/>
  <c r="BA31" i="1" s="1"/>
  <c r="BE31" i="1" s="1"/>
  <c r="BT31" i="1" s="1"/>
  <c r="H205" i="1"/>
  <c r="H31" i="1"/>
  <c r="F58" i="1"/>
  <c r="G58" i="1"/>
  <c r="BB58" i="1"/>
  <c r="AY58" i="1"/>
  <c r="AX58" i="1"/>
  <c r="G105" i="1"/>
  <c r="BB105" i="1"/>
  <c r="F105" i="1"/>
  <c r="G28" i="1"/>
  <c r="H28" i="1" s="1"/>
  <c r="BB28" i="1"/>
  <c r="Z28" i="1"/>
  <c r="BC210" i="1"/>
  <c r="BC169" i="1"/>
  <c r="BC391" i="1"/>
  <c r="BC156" i="1"/>
  <c r="BC121" i="1"/>
  <c r="BC117" i="1"/>
  <c r="BC114" i="1"/>
  <c r="BC102" i="1"/>
  <c r="BC378" i="1"/>
  <c r="BC17" i="1"/>
  <c r="BC14" i="1"/>
  <c r="BC12" i="1"/>
  <c r="H105" i="1" l="1"/>
  <c r="BA58" i="1"/>
  <c r="BE58" i="1" s="1"/>
  <c r="BT58" i="1" s="1"/>
  <c r="H58" i="1"/>
  <c r="BE28" i="1"/>
  <c r="BT28" i="1" s="1"/>
  <c r="BE105" i="1"/>
  <c r="BT105" i="1" s="1"/>
  <c r="BC392" i="1"/>
  <c r="BC199" i="1"/>
  <c r="BC119" i="1"/>
  <c r="BU381" i="1" l="1"/>
  <c r="G381" i="1" s="1"/>
  <c r="BC381" i="1"/>
  <c r="BB381" i="1"/>
  <c r="F381" i="1"/>
  <c r="BB113" i="1"/>
  <c r="BB112" i="1"/>
  <c r="BB32" i="1"/>
  <c r="BE381" i="1" l="1"/>
  <c r="H381" i="1"/>
  <c r="BB213" i="1" l="1"/>
  <c r="BB203" i="1"/>
  <c r="BB202" i="1"/>
  <c r="BB200" i="1"/>
  <c r="BB193" i="1"/>
  <c r="BB192" i="1"/>
  <c r="BB186" i="1"/>
  <c r="BB184" i="1"/>
  <c r="BB182" i="1"/>
  <c r="BB180" i="1"/>
  <c r="BB179" i="1"/>
  <c r="BB177" i="1"/>
  <c r="BB173" i="1"/>
  <c r="BB170" i="1"/>
  <c r="BB159" i="1"/>
  <c r="BB158" i="1"/>
  <c r="BB155" i="1"/>
  <c r="BB154" i="1"/>
  <c r="BB156" i="1"/>
  <c r="BB147" i="1"/>
  <c r="BB141" i="1"/>
  <c r="BB137" i="1"/>
  <c r="BB133" i="1"/>
  <c r="BB131" i="1"/>
  <c r="BB129" i="1"/>
  <c r="BB127" i="1"/>
  <c r="BB125" i="1"/>
  <c r="BB123" i="1"/>
  <c r="BB121" i="1"/>
  <c r="BB120" i="1"/>
  <c r="BB115" i="1"/>
  <c r="BB109" i="1"/>
  <c r="BB108" i="1"/>
  <c r="BB101" i="1"/>
  <c r="BB100" i="1"/>
  <c r="BB99" i="1"/>
  <c r="BB97" i="1"/>
  <c r="BB85" i="1"/>
  <c r="BB78" i="1"/>
  <c r="BB77" i="1"/>
  <c r="BB84" i="1"/>
  <c r="BB73" i="1"/>
  <c r="BB71" i="1"/>
  <c r="BB69" i="1"/>
  <c r="BB68" i="1"/>
  <c r="BB67" i="1"/>
  <c r="BB65" i="1"/>
  <c r="BB63" i="1"/>
  <c r="BB62" i="1"/>
  <c r="BB396" i="1"/>
  <c r="BB60" i="1"/>
  <c r="BB379" i="1"/>
  <c r="BB57" i="1"/>
  <c r="BB55" i="1"/>
  <c r="BB54" i="1"/>
  <c r="BB51" i="1"/>
  <c r="BB48" i="1"/>
  <c r="BB43" i="1"/>
  <c r="BB42" i="1"/>
  <c r="BB40" i="1"/>
  <c r="BB39" i="1"/>
  <c r="BB37" i="1"/>
  <c r="BB36" i="1"/>
  <c r="BB34" i="1"/>
  <c r="BB378" i="1"/>
  <c r="BB27" i="1"/>
  <c r="BB22" i="1"/>
  <c r="BB376" i="1"/>
  <c r="BB17" i="1"/>
  <c r="BB16" i="1"/>
  <c r="BB9" i="1"/>
  <c r="BB10" i="1"/>
  <c r="BB168" i="1"/>
  <c r="G175" i="1"/>
  <c r="BC175" i="1"/>
  <c r="BB175" i="1"/>
  <c r="F175" i="1"/>
  <c r="BB12" i="1"/>
  <c r="G158" i="1"/>
  <c r="F158" i="1"/>
  <c r="BB209" i="1"/>
  <c r="BB373" i="1"/>
  <c r="BB161" i="1"/>
  <c r="BB144" i="1"/>
  <c r="BB110" i="1"/>
  <c r="BB104" i="1"/>
  <c r="BB87" i="1"/>
  <c r="BB15" i="1"/>
  <c r="G187" i="1"/>
  <c r="BC187" i="1"/>
  <c r="BB187" i="1"/>
  <c r="F187" i="1"/>
  <c r="H158" i="1" l="1"/>
  <c r="H175" i="1"/>
  <c r="BE175" i="1"/>
  <c r="BT175" i="1" s="1"/>
  <c r="BE158" i="1"/>
  <c r="BT158" i="1" s="1"/>
  <c r="BE187" i="1"/>
  <c r="BT187" i="1" s="1"/>
  <c r="H187" i="1"/>
  <c r="BU372" i="1" l="1"/>
  <c r="G372" i="1" s="1"/>
  <c r="BC372" i="1"/>
  <c r="BB372" i="1"/>
  <c r="F372" i="1"/>
  <c r="BU384" i="1"/>
  <c r="G384" i="1" s="1"/>
  <c r="BC384" i="1"/>
  <c r="BB384" i="1"/>
  <c r="F384" i="1"/>
  <c r="BE372" i="1" l="1"/>
  <c r="BE384" i="1"/>
  <c r="H384" i="1"/>
  <c r="H372" i="1"/>
  <c r="G168" i="1"/>
  <c r="AY168" i="1"/>
  <c r="AX168" i="1"/>
  <c r="AU168" i="1"/>
  <c r="AT168" i="1"/>
  <c r="AQ168" i="1"/>
  <c r="AP168" i="1"/>
  <c r="AG168" i="1"/>
  <c r="AK168" i="1" s="1"/>
  <c r="AO168" i="1" s="1"/>
  <c r="F168" i="1"/>
  <c r="AS168" i="1" l="1"/>
  <c r="AW168" i="1" s="1"/>
  <c r="BA168" i="1" s="1"/>
  <c r="BE168" i="1" s="1"/>
  <c r="BT168" i="1" s="1"/>
  <c r="H168" i="1"/>
  <c r="G194" i="1" l="1"/>
  <c r="BB194" i="1"/>
  <c r="F194" i="1"/>
  <c r="G189" i="1"/>
  <c r="BB189" i="1"/>
  <c r="F189" i="1"/>
  <c r="BU366" i="1"/>
  <c r="G366" i="1" s="1"/>
  <c r="BE366" i="1"/>
  <c r="F366" i="1"/>
  <c r="AX43" i="1"/>
  <c r="AX212" i="1"/>
  <c r="AX392" i="1"/>
  <c r="AX186" i="1"/>
  <c r="AX93" i="1"/>
  <c r="AX26" i="1"/>
  <c r="BB166" i="1"/>
  <c r="BE189" i="1" l="1"/>
  <c r="BT189" i="1" s="1"/>
  <c r="BE194" i="1"/>
  <c r="BT194" i="1" s="1"/>
  <c r="H366" i="1"/>
  <c r="H194" i="1"/>
  <c r="H189" i="1"/>
  <c r="BB386" i="1"/>
  <c r="BU392" i="1"/>
  <c r="BU374" i="1"/>
  <c r="BU386" i="1"/>
  <c r="BU369" i="1"/>
  <c r="BU373" i="1"/>
  <c r="BU375" i="1"/>
  <c r="BU391" i="1"/>
  <c r="BU385" i="1"/>
  <c r="BU368" i="1"/>
  <c r="BU383" i="1"/>
  <c r="BU387" i="1"/>
  <c r="BU382" i="1"/>
  <c r="BU380" i="1"/>
  <c r="G60" i="1"/>
  <c r="BU379" i="1"/>
  <c r="BU371" i="1"/>
  <c r="BU367" i="1"/>
  <c r="BU378" i="1"/>
  <c r="BU370" i="1"/>
  <c r="BU364" i="1"/>
  <c r="BU377" i="1"/>
  <c r="BU376" i="1"/>
  <c r="BU365" i="1"/>
  <c r="BB135" i="1"/>
  <c r="BB66" i="1"/>
  <c r="BB212" i="1"/>
  <c r="BC211" i="1"/>
  <c r="BB211" i="1"/>
  <c r="BB210" i="1"/>
  <c r="BB392" i="1"/>
  <c r="BC208" i="1"/>
  <c r="BB208" i="1"/>
  <c r="BC206" i="1"/>
  <c r="BB206" i="1"/>
  <c r="BB204" i="1"/>
  <c r="BC203" i="1"/>
  <c r="BC374" i="1"/>
  <c r="BB374" i="1"/>
  <c r="BC202" i="1"/>
  <c r="BB201" i="1"/>
  <c r="BC200" i="1"/>
  <c r="BB199" i="1"/>
  <c r="BB197" i="1"/>
  <c r="BB196" i="1"/>
  <c r="BB195" i="1"/>
  <c r="BC386" i="1"/>
  <c r="BB191" i="1"/>
  <c r="BB190" i="1"/>
  <c r="BB188" i="1"/>
  <c r="BC369" i="1"/>
  <c r="BB369" i="1"/>
  <c r="BB185" i="1"/>
  <c r="BB183" i="1"/>
  <c r="BB181" i="1"/>
  <c r="BC176" i="1"/>
  <c r="BB176" i="1"/>
  <c r="BB174" i="1"/>
  <c r="BC373" i="1"/>
  <c r="BB172" i="1"/>
  <c r="BB171" i="1"/>
  <c r="BC375" i="1"/>
  <c r="BB375" i="1"/>
  <c r="BB169" i="1"/>
  <c r="BB167" i="1"/>
  <c r="BB165" i="1"/>
  <c r="BB391" i="1"/>
  <c r="BB163" i="1"/>
  <c r="BB162" i="1"/>
  <c r="BC385" i="1"/>
  <c r="BB385" i="1"/>
  <c r="BC399" i="1"/>
  <c r="BB399" i="1"/>
  <c r="BB153" i="1"/>
  <c r="BB151" i="1"/>
  <c r="BB150" i="1"/>
  <c r="BB148" i="1"/>
  <c r="BB145" i="1"/>
  <c r="BB143" i="1"/>
  <c r="BB142" i="1"/>
  <c r="BB140" i="1"/>
  <c r="BC139" i="1"/>
  <c r="BB139" i="1"/>
  <c r="BB138" i="1"/>
  <c r="BC368" i="1"/>
  <c r="BB368" i="1"/>
  <c r="BC136" i="1"/>
  <c r="BB136" i="1"/>
  <c r="BB134" i="1"/>
  <c r="BC132" i="1"/>
  <c r="BB132" i="1"/>
  <c r="BC131" i="1"/>
  <c r="BB130" i="1"/>
  <c r="BC126" i="1"/>
  <c r="BB126" i="1"/>
  <c r="BC124" i="1"/>
  <c r="BB124" i="1"/>
  <c r="BB122" i="1"/>
  <c r="BB119" i="1"/>
  <c r="BC118" i="1"/>
  <c r="BB118" i="1"/>
  <c r="BB117" i="1"/>
  <c r="BB116" i="1"/>
  <c r="BB114" i="1"/>
  <c r="BB111" i="1"/>
  <c r="BB107" i="1"/>
  <c r="BC106" i="1"/>
  <c r="BB106" i="1"/>
  <c r="BB103" i="1"/>
  <c r="BB102" i="1"/>
  <c r="BB397" i="1"/>
  <c r="BB98" i="1"/>
  <c r="BC96" i="1"/>
  <c r="BB96" i="1"/>
  <c r="BC95" i="1"/>
  <c r="BB95" i="1"/>
  <c r="BC94" i="1"/>
  <c r="BB94" i="1"/>
  <c r="BB93" i="1"/>
  <c r="BC92" i="1"/>
  <c r="BB92" i="1"/>
  <c r="BC404" i="1"/>
  <c r="BB404" i="1"/>
  <c r="BB91" i="1"/>
  <c r="BC90" i="1"/>
  <c r="BB90" i="1"/>
  <c r="BC89" i="1"/>
  <c r="BB89" i="1"/>
  <c r="BC88" i="1"/>
  <c r="BB88" i="1"/>
  <c r="BC383" i="1"/>
  <c r="BB383" i="1"/>
  <c r="BC86" i="1"/>
  <c r="BB86" i="1"/>
  <c r="BC85" i="1"/>
  <c r="BB83" i="1"/>
  <c r="BC387" i="1"/>
  <c r="BB387" i="1"/>
  <c r="BC82" i="1"/>
  <c r="BB82" i="1"/>
  <c r="BC81" i="1"/>
  <c r="BB81" i="1"/>
  <c r="BB80" i="1"/>
  <c r="BC382" i="1"/>
  <c r="BB382" i="1"/>
  <c r="BB76" i="1"/>
  <c r="BB75" i="1"/>
  <c r="BC73" i="1"/>
  <c r="BC72" i="1"/>
  <c r="BB72" i="1"/>
  <c r="BB70" i="1"/>
  <c r="BB64" i="1"/>
  <c r="BC380" i="1"/>
  <c r="BB380" i="1"/>
  <c r="BB61" i="1"/>
  <c r="BC379" i="1"/>
  <c r="BB59" i="1"/>
  <c r="BC57" i="1"/>
  <c r="BC371" i="1"/>
  <c r="BB371" i="1"/>
  <c r="BC56" i="1"/>
  <c r="BB56" i="1"/>
  <c r="BC367" i="1"/>
  <c r="BB367" i="1"/>
  <c r="BB50" i="1"/>
  <c r="BC49" i="1"/>
  <c r="BB49" i="1"/>
  <c r="BB47" i="1"/>
  <c r="BC46" i="1"/>
  <c r="BB46" i="1"/>
  <c r="BB45" i="1"/>
  <c r="BC44" i="1"/>
  <c r="BB44" i="1"/>
  <c r="BB41" i="1"/>
  <c r="BC36" i="1"/>
  <c r="BB35" i="1"/>
  <c r="BB33" i="1"/>
  <c r="BC370" i="1"/>
  <c r="BB370" i="1"/>
  <c r="BC29" i="1"/>
  <c r="BB29" i="1"/>
  <c r="BC26" i="1"/>
  <c r="BB26" i="1"/>
  <c r="BC364" i="1"/>
  <c r="BB364" i="1"/>
  <c r="BB25" i="1"/>
  <c r="BC24" i="1"/>
  <c r="BB24" i="1"/>
  <c r="BC377" i="1"/>
  <c r="BB377" i="1"/>
  <c r="BC23" i="1"/>
  <c r="BB23" i="1"/>
  <c r="BC376" i="1"/>
  <c r="BC21" i="1"/>
  <c r="BB21" i="1"/>
  <c r="BC365" i="1"/>
  <c r="BB365" i="1"/>
  <c r="BB20" i="1"/>
  <c r="BC19" i="1"/>
  <c r="BB19" i="1"/>
  <c r="BB14" i="1"/>
  <c r="BB13" i="1"/>
  <c r="BC11" i="1"/>
  <c r="BB11" i="1"/>
  <c r="AY185" i="1"/>
  <c r="AY213" i="1"/>
  <c r="AY203" i="1"/>
  <c r="AY195" i="1"/>
  <c r="AY191" i="1"/>
  <c r="AY186" i="1"/>
  <c r="AY177" i="1"/>
  <c r="AY176" i="1"/>
  <c r="AY165" i="1"/>
  <c r="AY162" i="1"/>
  <c r="AY161" i="1"/>
  <c r="AY159" i="1"/>
  <c r="AY385" i="1"/>
  <c r="AY147" i="1"/>
  <c r="AY144" i="1"/>
  <c r="AY137" i="1"/>
  <c r="AY130" i="1"/>
  <c r="AY125" i="1"/>
  <c r="AY123" i="1"/>
  <c r="AY122" i="1"/>
  <c r="AY120" i="1"/>
  <c r="AY115" i="1"/>
  <c r="AY113" i="1"/>
  <c r="AY112" i="1"/>
  <c r="AY104" i="1"/>
  <c r="AY101" i="1"/>
  <c r="AY98" i="1"/>
  <c r="AY92" i="1"/>
  <c r="AY404" i="1"/>
  <c r="AY90" i="1"/>
  <c r="AY89" i="1"/>
  <c r="AY87" i="1"/>
  <c r="AY77" i="1"/>
  <c r="AY84" i="1"/>
  <c r="AY82" i="1"/>
  <c r="AY73" i="1"/>
  <c r="AY70" i="1"/>
  <c r="AY69" i="1"/>
  <c r="AY68" i="1"/>
  <c r="AY66" i="1"/>
  <c r="AY65" i="1"/>
  <c r="AY61" i="1"/>
  <c r="AY379" i="1"/>
  <c r="AY59" i="1"/>
  <c r="AY45" i="1"/>
  <c r="AY55" i="1"/>
  <c r="AY50" i="1"/>
  <c r="AY47" i="1"/>
  <c r="AY43" i="1"/>
  <c r="AY42" i="1"/>
  <c r="AY41" i="1"/>
  <c r="AY39" i="1"/>
  <c r="AY27" i="1"/>
  <c r="AY23" i="1"/>
  <c r="AY22" i="1"/>
  <c r="AY376" i="1"/>
  <c r="AY15" i="1"/>
  <c r="AY9" i="1"/>
  <c r="AY10" i="1"/>
  <c r="BE99" i="1" l="1"/>
  <c r="BT99" i="1" s="1"/>
  <c r="BE44" i="1"/>
  <c r="BT44" i="1" s="1"/>
  <c r="BE71" i="1"/>
  <c r="BT71" i="1" s="1"/>
  <c r="BE374" i="1"/>
  <c r="BE118" i="1"/>
  <c r="BT118" i="1" s="1"/>
  <c r="BE21" i="1"/>
  <c r="BT21" i="1" s="1"/>
  <c r="BE371" i="1"/>
  <c r="BE378" i="1"/>
  <c r="BE399" i="1"/>
  <c r="BT399" i="1" s="1"/>
  <c r="G190" i="1"/>
  <c r="AY190" i="1"/>
  <c r="AX190" i="1"/>
  <c r="F190" i="1"/>
  <c r="G148" i="1"/>
  <c r="AY148" i="1"/>
  <c r="AX148" i="1"/>
  <c r="Z148" i="1"/>
  <c r="F148" i="1"/>
  <c r="BA148" i="1" l="1"/>
  <c r="BE148" i="1" s="1"/>
  <c r="BT148" i="1" s="1"/>
  <c r="BA190" i="1"/>
  <c r="BE190" i="1" s="1"/>
  <c r="BT190" i="1" s="1"/>
  <c r="H190" i="1"/>
  <c r="H148" i="1"/>
  <c r="G396" i="1"/>
  <c r="AY396" i="1"/>
  <c r="AX396" i="1"/>
  <c r="F396" i="1"/>
  <c r="G379" i="1"/>
  <c r="AX379" i="1"/>
  <c r="F379" i="1"/>
  <c r="G367" i="1"/>
  <c r="AY367" i="1"/>
  <c r="AX367" i="1"/>
  <c r="F367" i="1"/>
  <c r="BU361" i="1"/>
  <c r="G361" i="1" s="1"/>
  <c r="AY361" i="1"/>
  <c r="AX361" i="1"/>
  <c r="AG361" i="1"/>
  <c r="AK361" i="1" s="1"/>
  <c r="AO361" i="1" s="1"/>
  <c r="AS361" i="1" s="1"/>
  <c r="AW361" i="1" s="1"/>
  <c r="F361" i="1"/>
  <c r="AY380" i="1"/>
  <c r="AY199" i="1"/>
  <c r="AY188" i="1"/>
  <c r="AY184" i="1"/>
  <c r="AY183" i="1"/>
  <c r="AY170" i="1"/>
  <c r="AY167" i="1"/>
  <c r="AY150" i="1"/>
  <c r="AY136" i="1"/>
  <c r="AY133" i="1"/>
  <c r="AY129" i="1"/>
  <c r="AY127" i="1"/>
  <c r="AY109" i="1"/>
  <c r="AY107" i="1"/>
  <c r="AY100" i="1"/>
  <c r="AY97" i="1"/>
  <c r="AY93" i="1"/>
  <c r="AY383" i="1"/>
  <c r="AY63" i="1"/>
  <c r="AY62" i="1"/>
  <c r="AY57" i="1"/>
  <c r="AY51" i="1"/>
  <c r="AY37" i="1"/>
  <c r="AY35" i="1"/>
  <c r="AY370" i="1"/>
  <c r="AY26" i="1"/>
  <c r="AY20" i="1"/>
  <c r="AY17" i="1"/>
  <c r="AY14" i="1"/>
  <c r="AY13" i="1"/>
  <c r="AY210" i="1"/>
  <c r="AX210" i="1"/>
  <c r="AU210" i="1"/>
  <c r="AT210" i="1"/>
  <c r="G99" i="1"/>
  <c r="F99" i="1"/>
  <c r="BA396" i="1" l="1"/>
  <c r="BE396" i="1" s="1"/>
  <c r="BT396" i="1" s="1"/>
  <c r="BA379" i="1"/>
  <c r="BE379" i="1" s="1"/>
  <c r="H379" i="1"/>
  <c r="H396" i="1"/>
  <c r="H367" i="1"/>
  <c r="BA367" i="1"/>
  <c r="BE367" i="1" s="1"/>
  <c r="BA361" i="1"/>
  <c r="H361" i="1"/>
  <c r="H99" i="1"/>
  <c r="G71" i="1" l="1"/>
  <c r="F71" i="1"/>
  <c r="G378" i="1"/>
  <c r="F378" i="1"/>
  <c r="H71" i="1" l="1"/>
  <c r="H378" i="1"/>
  <c r="AY212" i="1" l="1"/>
  <c r="AY196" i="1"/>
  <c r="AY180" i="1"/>
  <c r="AY117" i="1"/>
  <c r="AY110" i="1"/>
  <c r="AY88" i="1"/>
  <c r="AY40" i="1"/>
  <c r="AY36" i="1"/>
  <c r="AY16" i="1"/>
  <c r="AY12" i="1"/>
  <c r="G374" i="1" l="1"/>
  <c r="F374" i="1"/>
  <c r="G399" i="1"/>
  <c r="F399" i="1"/>
  <c r="G42" i="1"/>
  <c r="AX42" i="1"/>
  <c r="AG42" i="1"/>
  <c r="AK42" i="1" s="1"/>
  <c r="AO42" i="1" s="1"/>
  <c r="AS42" i="1" s="1"/>
  <c r="AW42" i="1" s="1"/>
  <c r="F42" i="1"/>
  <c r="H374" i="1" l="1"/>
  <c r="H399" i="1"/>
  <c r="BA42" i="1"/>
  <c r="BE42" i="1" s="1"/>
  <c r="BT42" i="1" s="1"/>
  <c r="H42" i="1"/>
  <c r="G364" i="1"/>
  <c r="AY364" i="1"/>
  <c r="AX364" i="1"/>
  <c r="AG364" i="1"/>
  <c r="AK364" i="1" s="1"/>
  <c r="AO364" i="1" s="1"/>
  <c r="AS364" i="1" s="1"/>
  <c r="AW364" i="1" s="1"/>
  <c r="F364" i="1"/>
  <c r="AY201" i="1"/>
  <c r="AY182" i="1"/>
  <c r="AY179" i="1"/>
  <c r="AY116" i="1"/>
  <c r="AY114" i="1"/>
  <c r="AY80" i="1"/>
  <c r="AY76" i="1"/>
  <c r="AY34" i="1"/>
  <c r="BA364" i="1" l="1"/>
  <c r="BE364" i="1" s="1"/>
  <c r="H364" i="1"/>
  <c r="BU356" i="1"/>
  <c r="G356" i="1" s="1"/>
  <c r="AY356" i="1"/>
  <c r="AX356" i="1"/>
  <c r="AG356" i="1"/>
  <c r="AK356" i="1" s="1"/>
  <c r="AO356" i="1" s="1"/>
  <c r="AS356" i="1" s="1"/>
  <c r="AW356" i="1" s="1"/>
  <c r="F356" i="1"/>
  <c r="G49" i="1"/>
  <c r="AY49" i="1"/>
  <c r="AX49" i="1"/>
  <c r="AG49" i="1"/>
  <c r="AK49" i="1" s="1"/>
  <c r="AO49" i="1" s="1"/>
  <c r="AS49" i="1" s="1"/>
  <c r="AW49" i="1" s="1"/>
  <c r="F49" i="1"/>
  <c r="H49" i="1" l="1"/>
  <c r="BA356" i="1"/>
  <c r="H356" i="1"/>
  <c r="BA49" i="1"/>
  <c r="BE49" i="1" s="1"/>
  <c r="BT49" i="1" s="1"/>
  <c r="BU351" i="1" l="1"/>
  <c r="G351" i="1" s="1"/>
  <c r="AY351" i="1"/>
  <c r="AX351" i="1"/>
  <c r="AG351" i="1"/>
  <c r="AK351" i="1" s="1"/>
  <c r="AO351" i="1" s="1"/>
  <c r="AS351" i="1" s="1"/>
  <c r="AW351" i="1" s="1"/>
  <c r="F351" i="1"/>
  <c r="G65" i="1"/>
  <c r="AX65" i="1"/>
  <c r="AG65" i="1"/>
  <c r="AK65" i="1" s="1"/>
  <c r="AO65" i="1" s="1"/>
  <c r="AS65" i="1" s="1"/>
  <c r="AW65" i="1" s="1"/>
  <c r="F65" i="1"/>
  <c r="G377" i="1"/>
  <c r="AY377" i="1"/>
  <c r="AX377" i="1"/>
  <c r="AG377" i="1"/>
  <c r="AK377" i="1" s="1"/>
  <c r="AO377" i="1" s="1"/>
  <c r="AS377" i="1" s="1"/>
  <c r="AW377" i="1" s="1"/>
  <c r="F377" i="1"/>
  <c r="AY392" i="1"/>
  <c r="AY200" i="1"/>
  <c r="AY386" i="1"/>
  <c r="AY119" i="1"/>
  <c r="BA351" i="1" l="1"/>
  <c r="H351" i="1"/>
  <c r="BA65" i="1"/>
  <c r="BE65" i="1" s="1"/>
  <c r="BT65" i="1" s="1"/>
  <c r="H65" i="1"/>
  <c r="BA377" i="1"/>
  <c r="BE377" i="1" s="1"/>
  <c r="H377" i="1"/>
  <c r="G118" i="1"/>
  <c r="F118" i="1"/>
  <c r="G371" i="1"/>
  <c r="F371" i="1"/>
  <c r="G44" i="1"/>
  <c r="F44" i="1"/>
  <c r="G346" i="1"/>
  <c r="F346" i="1"/>
  <c r="G21" i="1"/>
  <c r="F21" i="1"/>
  <c r="H346" i="1" l="1"/>
  <c r="H44" i="1"/>
  <c r="H371" i="1"/>
  <c r="H118" i="1"/>
  <c r="H21" i="1"/>
  <c r="G107" i="1" l="1"/>
  <c r="AX107" i="1"/>
  <c r="AG107" i="1"/>
  <c r="AK107" i="1" s="1"/>
  <c r="AO107" i="1" s="1"/>
  <c r="AS107" i="1" s="1"/>
  <c r="AW107" i="1" s="1"/>
  <c r="F107" i="1"/>
  <c r="BA107" i="1" l="1"/>
  <c r="BE107" i="1" s="1"/>
  <c r="BT107" i="1" s="1"/>
  <c r="H107" i="1"/>
  <c r="AY206" i="1" l="1"/>
  <c r="AY192" i="1"/>
  <c r="AY181" i="1"/>
  <c r="AY173" i="1"/>
  <c r="AY171" i="1"/>
  <c r="AY163" i="1"/>
  <c r="AY154" i="1"/>
  <c r="AY143" i="1" l="1"/>
  <c r="AY140" i="1"/>
  <c r="AY368" i="1"/>
  <c r="AY108" i="1"/>
  <c r="AY355" i="1"/>
  <c r="AY86" i="1"/>
  <c r="AY75" i="1"/>
  <c r="AY67" i="1"/>
  <c r="AY60" i="1"/>
  <c r="AY54" i="1"/>
  <c r="AY46" i="1"/>
  <c r="AY29" i="1"/>
  <c r="AY19" i="1"/>
  <c r="G120" i="1" l="1"/>
  <c r="AX120" i="1"/>
  <c r="AG120" i="1"/>
  <c r="AK120" i="1" s="1"/>
  <c r="AO120" i="1" s="1"/>
  <c r="AS120" i="1" s="1"/>
  <c r="AW120" i="1" s="1"/>
  <c r="F120" i="1"/>
  <c r="BA120" i="1" l="1"/>
  <c r="BE120" i="1" s="1"/>
  <c r="BT120" i="1" s="1"/>
  <c r="H120" i="1"/>
  <c r="BU348" i="1"/>
  <c r="G348" i="1" s="1"/>
  <c r="AG348" i="1"/>
  <c r="AK348" i="1" s="1"/>
  <c r="AO348" i="1" s="1"/>
  <c r="AS348" i="1" s="1"/>
  <c r="AW348" i="1" s="1"/>
  <c r="BA348" i="1" s="1"/>
  <c r="F348" i="1"/>
  <c r="G162" i="1"/>
  <c r="AX162" i="1"/>
  <c r="AG162" i="1"/>
  <c r="AK162" i="1" s="1"/>
  <c r="AO162" i="1" s="1"/>
  <c r="AS162" i="1" s="1"/>
  <c r="AW162" i="1" s="1"/>
  <c r="F162" i="1"/>
  <c r="H348" i="1" l="1"/>
  <c r="BA162" i="1"/>
  <c r="BE162" i="1" s="1"/>
  <c r="BT162" i="1" s="1"/>
  <c r="H162" i="1"/>
  <c r="BU347" i="1" l="1"/>
  <c r="G347" i="1" s="1"/>
  <c r="AY347" i="1"/>
  <c r="AX347" i="1"/>
  <c r="AG347" i="1"/>
  <c r="AK347" i="1" s="1"/>
  <c r="AO347" i="1" s="1"/>
  <c r="AS347" i="1" s="1"/>
  <c r="AW347" i="1" s="1"/>
  <c r="F347" i="1"/>
  <c r="G97" i="1"/>
  <c r="AX97" i="1"/>
  <c r="AG97" i="1"/>
  <c r="AK97" i="1" s="1"/>
  <c r="AO97" i="1" s="1"/>
  <c r="AS97" i="1" s="1"/>
  <c r="AW97" i="1" s="1"/>
  <c r="F97" i="1"/>
  <c r="G387" i="1"/>
  <c r="AY387" i="1"/>
  <c r="AX387" i="1"/>
  <c r="AG387" i="1"/>
  <c r="AK387" i="1" s="1"/>
  <c r="AO387" i="1" s="1"/>
  <c r="AS387" i="1" s="1"/>
  <c r="AW387" i="1" s="1"/>
  <c r="F387" i="1"/>
  <c r="BA347" i="1" l="1"/>
  <c r="H347" i="1"/>
  <c r="BA97" i="1"/>
  <c r="BE97" i="1" s="1"/>
  <c r="BT97" i="1" s="1"/>
  <c r="H387" i="1"/>
  <c r="H97" i="1"/>
  <c r="BA387" i="1"/>
  <c r="BE387" i="1" s="1"/>
  <c r="G32" i="1" l="1"/>
  <c r="AY32" i="1"/>
  <c r="AX32" i="1"/>
  <c r="AG32" i="1"/>
  <c r="AK32" i="1" s="1"/>
  <c r="AO32" i="1" s="1"/>
  <c r="AS32" i="1" s="1"/>
  <c r="AW32" i="1" s="1"/>
  <c r="F32" i="1"/>
  <c r="BU350" i="1"/>
  <c r="G350" i="1" s="1"/>
  <c r="AY350" i="1"/>
  <c r="AX350" i="1"/>
  <c r="AG350" i="1"/>
  <c r="AK350" i="1" s="1"/>
  <c r="AO350" i="1" s="1"/>
  <c r="AS350" i="1" s="1"/>
  <c r="AW350" i="1" s="1"/>
  <c r="F350" i="1"/>
  <c r="H32" i="1" l="1"/>
  <c r="BA32" i="1"/>
  <c r="BE32" i="1" s="1"/>
  <c r="BT32" i="1" s="1"/>
  <c r="BA350" i="1"/>
  <c r="H350" i="1"/>
  <c r="G197" i="1" l="1"/>
  <c r="AY197" i="1"/>
  <c r="AX197" i="1"/>
  <c r="AG197" i="1"/>
  <c r="AK197" i="1" s="1"/>
  <c r="AO197" i="1" s="1"/>
  <c r="AS197" i="1" s="1"/>
  <c r="AW197" i="1" s="1"/>
  <c r="F197" i="1"/>
  <c r="BA197" i="1" l="1"/>
  <c r="BE197" i="1" s="1"/>
  <c r="BT197" i="1" s="1"/>
  <c r="H197" i="1"/>
  <c r="G129" i="1"/>
  <c r="AX129" i="1"/>
  <c r="AG129" i="1"/>
  <c r="AK129" i="1" s="1"/>
  <c r="AO129" i="1" s="1"/>
  <c r="AS129" i="1" s="1"/>
  <c r="AW129" i="1" s="1"/>
  <c r="F129" i="1"/>
  <c r="H129" i="1" l="1"/>
  <c r="BA129" i="1"/>
  <c r="BE129" i="1" s="1"/>
  <c r="BT129" i="1" s="1"/>
  <c r="G382" i="1"/>
  <c r="AY382" i="1"/>
  <c r="AX382" i="1"/>
  <c r="AG382" i="1"/>
  <c r="AK382" i="1" s="1"/>
  <c r="AO382" i="1" s="1"/>
  <c r="AS382" i="1" s="1"/>
  <c r="AW382" i="1" s="1"/>
  <c r="F382" i="1"/>
  <c r="BA382" i="1" l="1"/>
  <c r="BE382" i="1" s="1"/>
  <c r="H382" i="1"/>
  <c r="G72" i="1"/>
  <c r="AY72" i="1"/>
  <c r="AX72" i="1"/>
  <c r="AG72" i="1"/>
  <c r="AK72" i="1" s="1"/>
  <c r="AO72" i="1" s="1"/>
  <c r="AS72" i="1" s="1"/>
  <c r="AW72" i="1" s="1"/>
  <c r="F72" i="1"/>
  <c r="BA72" i="1" l="1"/>
  <c r="BE72" i="1" s="1"/>
  <c r="BT72" i="1" s="1"/>
  <c r="H72" i="1"/>
  <c r="G370" i="1" l="1"/>
  <c r="AX370" i="1"/>
  <c r="AG370" i="1"/>
  <c r="AK370" i="1" s="1"/>
  <c r="AO370" i="1" s="1"/>
  <c r="AS370" i="1" s="1"/>
  <c r="AW370" i="1" s="1"/>
  <c r="F370" i="1"/>
  <c r="BA370" i="1" l="1"/>
  <c r="BE370" i="1" s="1"/>
  <c r="H370" i="1"/>
  <c r="AT111" i="1" l="1"/>
  <c r="AU111" i="1"/>
  <c r="AU12" i="1"/>
  <c r="BU355" i="1"/>
  <c r="G355" i="1" s="1"/>
  <c r="AX355" i="1"/>
  <c r="AG355" i="1"/>
  <c r="AK355" i="1" s="1"/>
  <c r="AO355" i="1" s="1"/>
  <c r="AS355" i="1" s="1"/>
  <c r="AW355" i="1" s="1"/>
  <c r="F355" i="1"/>
  <c r="AY344" i="1"/>
  <c r="AY166" i="1"/>
  <c r="AY155" i="1"/>
  <c r="AY156" i="1"/>
  <c r="AY138" i="1"/>
  <c r="AY332" i="1"/>
  <c r="AY85" i="1"/>
  <c r="AY83" i="1"/>
  <c r="AY33" i="1"/>
  <c r="AY365" i="1"/>
  <c r="AY211" i="1"/>
  <c r="AY209" i="1"/>
  <c r="AY208" i="1"/>
  <c r="AY204" i="1"/>
  <c r="AY202" i="1"/>
  <c r="AY345" i="1"/>
  <c r="AY193" i="1"/>
  <c r="AY360" i="1"/>
  <c r="AY359" i="1"/>
  <c r="AY369" i="1"/>
  <c r="AY341" i="1"/>
  <c r="AY358" i="1"/>
  <c r="AY352" i="1"/>
  <c r="AY343" i="1"/>
  <c r="AY174" i="1"/>
  <c r="AY373" i="1"/>
  <c r="AY172" i="1"/>
  <c r="AY375" i="1"/>
  <c r="AY169" i="1"/>
  <c r="AY391" i="1"/>
  <c r="AY357" i="1"/>
  <c r="AY349" i="1"/>
  <c r="AY153" i="1"/>
  <c r="AY151" i="1"/>
  <c r="AY342" i="1"/>
  <c r="AY363" i="1"/>
  <c r="AY145" i="1"/>
  <c r="AY142" i="1"/>
  <c r="AY141" i="1"/>
  <c r="AY139" i="1"/>
  <c r="AY135" i="1"/>
  <c r="AY134" i="1"/>
  <c r="AY132" i="1"/>
  <c r="AY131" i="1"/>
  <c r="AY126" i="1"/>
  <c r="AY124" i="1"/>
  <c r="AY340" i="1"/>
  <c r="AY121" i="1"/>
  <c r="AY339" i="1"/>
  <c r="AY362" i="1"/>
  <c r="AY111" i="1"/>
  <c r="AY106" i="1"/>
  <c r="AY103" i="1"/>
  <c r="AY102" i="1"/>
  <c r="AY397" i="1"/>
  <c r="AY96" i="1"/>
  <c r="AY95" i="1"/>
  <c r="AY94" i="1"/>
  <c r="AY91" i="1"/>
  <c r="AY81" i="1"/>
  <c r="AY78" i="1"/>
  <c r="AY64" i="1"/>
  <c r="AY56" i="1"/>
  <c r="AY48" i="1"/>
  <c r="AY338" i="1"/>
  <c r="AY337" i="1"/>
  <c r="AY336" i="1"/>
  <c r="AY354" i="1"/>
  <c r="AY25" i="1"/>
  <c r="AY24" i="1"/>
  <c r="AY353" i="1"/>
  <c r="AY11" i="1"/>
  <c r="G145" i="1"/>
  <c r="AX145" i="1"/>
  <c r="AG145" i="1"/>
  <c r="AK145" i="1" s="1"/>
  <c r="AO145" i="1" s="1"/>
  <c r="AS145" i="1" s="1"/>
  <c r="AW145" i="1" s="1"/>
  <c r="F145" i="1"/>
  <c r="BA355" i="1" l="1"/>
  <c r="BA145" i="1"/>
  <c r="BE145" i="1" s="1"/>
  <c r="BT145" i="1" s="1"/>
  <c r="H355" i="1"/>
  <c r="H145" i="1"/>
  <c r="AX353" i="1" l="1"/>
  <c r="BU353" i="1"/>
  <c r="G353" i="1" s="1"/>
  <c r="AG353" i="1"/>
  <c r="AK353" i="1" s="1"/>
  <c r="AO353" i="1" s="1"/>
  <c r="AS353" i="1" s="1"/>
  <c r="AW353" i="1" s="1"/>
  <c r="F353" i="1"/>
  <c r="AX213" i="1"/>
  <c r="AX211" i="1"/>
  <c r="AX209" i="1"/>
  <c r="AX206" i="1"/>
  <c r="AX202" i="1"/>
  <c r="AX200" i="1"/>
  <c r="AX345" i="1"/>
  <c r="AX196" i="1"/>
  <c r="AX386" i="1"/>
  <c r="AX193" i="1"/>
  <c r="AX192" i="1"/>
  <c r="AX191" i="1"/>
  <c r="AX359" i="1"/>
  <c r="AX183" i="1"/>
  <c r="AX182" i="1"/>
  <c r="AX181" i="1"/>
  <c r="AX174" i="1"/>
  <c r="AX172" i="1"/>
  <c r="AX173" i="1"/>
  <c r="AX171" i="1"/>
  <c r="AX170" i="1"/>
  <c r="AX169" i="1"/>
  <c r="AX166" i="1"/>
  <c r="AX165" i="1"/>
  <c r="AX163" i="1"/>
  <c r="AX161" i="1"/>
  <c r="AX155" i="1"/>
  <c r="AX154" i="1"/>
  <c r="AX153" i="1"/>
  <c r="AX150" i="1"/>
  <c r="AX147" i="1"/>
  <c r="AX144" i="1"/>
  <c r="AX142" i="1"/>
  <c r="AX141" i="1"/>
  <c r="AX140" i="1"/>
  <c r="AX137" i="1"/>
  <c r="AX130" i="1"/>
  <c r="AX125" i="1"/>
  <c r="AX123" i="1"/>
  <c r="AX340" i="1"/>
  <c r="AX122" i="1"/>
  <c r="AX121" i="1"/>
  <c r="AX114" i="1"/>
  <c r="AX113" i="1"/>
  <c r="AX362" i="1"/>
  <c r="AX111" i="1"/>
  <c r="AX110" i="1"/>
  <c r="AX101" i="1"/>
  <c r="AX96" i="1"/>
  <c r="AX92" i="1"/>
  <c r="AX90" i="1"/>
  <c r="AX87" i="1"/>
  <c r="AX86" i="1"/>
  <c r="AX84" i="1"/>
  <c r="AX73" i="1"/>
  <c r="AX70" i="1"/>
  <c r="AX69" i="1"/>
  <c r="AX66" i="1"/>
  <c r="AX64" i="1"/>
  <c r="AX63" i="1"/>
  <c r="AX62" i="1"/>
  <c r="AX61" i="1"/>
  <c r="AX59" i="1"/>
  <c r="AX45" i="1"/>
  <c r="AX50" i="1"/>
  <c r="AX35" i="1"/>
  <c r="AX34" i="1"/>
  <c r="AX33" i="1"/>
  <c r="AX27" i="1"/>
  <c r="AX376" i="1"/>
  <c r="AX365" i="1"/>
  <c r="AX20" i="1"/>
  <c r="AX19" i="1"/>
  <c r="AX16" i="1"/>
  <c r="AX15" i="1"/>
  <c r="AX13" i="1"/>
  <c r="AX12" i="1"/>
  <c r="BA353" i="1" l="1"/>
  <c r="H353" i="1"/>
  <c r="G167" i="1"/>
  <c r="AX167" i="1"/>
  <c r="AG167" i="1"/>
  <c r="AK167" i="1" s="1"/>
  <c r="AO167" i="1" s="1"/>
  <c r="AS167" i="1" s="1"/>
  <c r="AW167" i="1" s="1"/>
  <c r="F167" i="1"/>
  <c r="BU337" i="1"/>
  <c r="G337" i="1" s="1"/>
  <c r="AX337" i="1"/>
  <c r="AG337" i="1"/>
  <c r="AK337" i="1" s="1"/>
  <c r="AO337" i="1" s="1"/>
  <c r="AS337" i="1" s="1"/>
  <c r="AW337" i="1" s="1"/>
  <c r="F337" i="1"/>
  <c r="AX159" i="1"/>
  <c r="AX133" i="1"/>
  <c r="AX116" i="1"/>
  <c r="AX109" i="1"/>
  <c r="AX88" i="1"/>
  <c r="AX85" i="1"/>
  <c r="AX77" i="1"/>
  <c r="AX76" i="1"/>
  <c r="AX67" i="1"/>
  <c r="AX380" i="1"/>
  <c r="AX54" i="1"/>
  <c r="AX48" i="1"/>
  <c r="AX41" i="1"/>
  <c r="AX40" i="1"/>
  <c r="BA167" i="1" l="1"/>
  <c r="BE167" i="1" s="1"/>
  <c r="BT167" i="1" s="1"/>
  <c r="BA337" i="1"/>
  <c r="H167" i="1"/>
  <c r="H337" i="1"/>
  <c r="AX100" i="1"/>
  <c r="AX83" i="1"/>
  <c r="BU344" i="1" l="1"/>
  <c r="G344" i="1" s="1"/>
  <c r="AX344" i="1"/>
  <c r="AG344" i="1"/>
  <c r="AK344" i="1" s="1"/>
  <c r="AO344" i="1" s="1"/>
  <c r="AS344" i="1" s="1"/>
  <c r="AW344" i="1" s="1"/>
  <c r="F344" i="1"/>
  <c r="G373" i="1"/>
  <c r="AX373" i="1"/>
  <c r="AG373" i="1"/>
  <c r="AK373" i="1" s="1"/>
  <c r="AO373" i="1" s="1"/>
  <c r="AS373" i="1" s="1"/>
  <c r="AW373" i="1" s="1"/>
  <c r="F373" i="1"/>
  <c r="BA344" i="1" l="1"/>
  <c r="H373" i="1"/>
  <c r="H344" i="1"/>
  <c r="BA373" i="1"/>
  <c r="BE373" i="1" s="1"/>
  <c r="BU333" i="1"/>
  <c r="G333" i="1" s="1"/>
  <c r="AY333" i="1"/>
  <c r="AX333" i="1"/>
  <c r="AG333" i="1"/>
  <c r="AK333" i="1" s="1"/>
  <c r="AO333" i="1" s="1"/>
  <c r="AS333" i="1" s="1"/>
  <c r="AW333" i="1" s="1"/>
  <c r="BA333" i="1" s="1"/>
  <c r="F333" i="1"/>
  <c r="G383" i="1"/>
  <c r="AX383" i="1"/>
  <c r="AG383" i="1"/>
  <c r="AK383" i="1" s="1"/>
  <c r="AO383" i="1" s="1"/>
  <c r="AS383" i="1" s="1"/>
  <c r="AW383" i="1" s="1"/>
  <c r="F383" i="1"/>
  <c r="BU336" i="1"/>
  <c r="G336" i="1" s="1"/>
  <c r="AX336" i="1"/>
  <c r="AU336" i="1"/>
  <c r="AT336" i="1"/>
  <c r="AG336" i="1"/>
  <c r="AK336" i="1" s="1"/>
  <c r="AO336" i="1" s="1"/>
  <c r="AS336" i="1" s="1"/>
  <c r="F336" i="1"/>
  <c r="H336" i="1" l="1"/>
  <c r="BA383" i="1"/>
  <c r="BE383" i="1" s="1"/>
  <c r="AW336" i="1"/>
  <c r="BA336" i="1" s="1"/>
  <c r="H333" i="1"/>
  <c r="H383" i="1"/>
  <c r="AG334" i="1"/>
  <c r="AK334" i="1" s="1"/>
  <c r="AO334" i="1" s="1"/>
  <c r="AS334" i="1" s="1"/>
  <c r="AW334" i="1" s="1"/>
  <c r="BU334" i="1"/>
  <c r="G334" i="1" s="1"/>
  <c r="AY334" i="1"/>
  <c r="AX334" i="1"/>
  <c r="F334" i="1"/>
  <c r="AU54" i="1"/>
  <c r="G210" i="1"/>
  <c r="BU345" i="1"/>
  <c r="BU360" i="1"/>
  <c r="BU359" i="1"/>
  <c r="BU341" i="1"/>
  <c r="BU358" i="1"/>
  <c r="BU352" i="1"/>
  <c r="BU343" i="1"/>
  <c r="H334" i="1" l="1"/>
  <c r="BA334" i="1"/>
  <c r="BU357" i="1"/>
  <c r="BU349" i="1"/>
  <c r="BU342" i="1"/>
  <c r="BU363" i="1"/>
  <c r="BU330" i="1"/>
  <c r="BU340" i="1"/>
  <c r="BU339" i="1"/>
  <c r="BU362" i="1"/>
  <c r="BU335" i="1"/>
  <c r="BU332" i="1"/>
  <c r="BU338" i="1" l="1"/>
  <c r="BU354" i="1"/>
  <c r="BU331" i="1"/>
  <c r="AX208" i="1"/>
  <c r="AX204" i="1"/>
  <c r="AX203" i="1"/>
  <c r="AX201" i="1"/>
  <c r="AX199" i="1"/>
  <c r="AX195" i="1"/>
  <c r="AX360" i="1"/>
  <c r="AX188" i="1"/>
  <c r="AX369" i="1"/>
  <c r="AX341" i="1"/>
  <c r="AX358" i="1"/>
  <c r="AX352" i="1"/>
  <c r="AX185" i="1"/>
  <c r="AX343" i="1"/>
  <c r="AX184" i="1"/>
  <c r="AX180" i="1"/>
  <c r="AX179" i="1"/>
  <c r="AX177" i="1"/>
  <c r="AX176" i="1"/>
  <c r="AX375" i="1"/>
  <c r="AX391" i="1"/>
  <c r="AX357" i="1"/>
  <c r="AX349" i="1"/>
  <c r="AX385" i="1"/>
  <c r="AX156" i="1"/>
  <c r="AX342" i="1"/>
  <c r="AX363" i="1"/>
  <c r="AX143" i="1"/>
  <c r="AX139" i="1"/>
  <c r="AX138" i="1"/>
  <c r="AX368" i="1"/>
  <c r="AX136" i="1"/>
  <c r="AX135" i="1"/>
  <c r="AX134" i="1"/>
  <c r="AX132" i="1"/>
  <c r="AX131" i="1"/>
  <c r="AX127" i="1"/>
  <c r="AX126" i="1"/>
  <c r="AY330" i="1"/>
  <c r="AX330" i="1"/>
  <c r="AX124" i="1"/>
  <c r="AX339" i="1"/>
  <c r="AX119" i="1"/>
  <c r="AX117" i="1"/>
  <c r="AX115" i="1"/>
  <c r="AX112" i="1"/>
  <c r="AX108" i="1"/>
  <c r="AX106" i="1"/>
  <c r="AY335" i="1"/>
  <c r="AX335" i="1"/>
  <c r="AX104" i="1"/>
  <c r="AX103" i="1"/>
  <c r="AX102" i="1"/>
  <c r="AX397" i="1"/>
  <c r="AX332" i="1"/>
  <c r="AX98" i="1"/>
  <c r="AX95" i="1"/>
  <c r="AX94" i="1"/>
  <c r="AX404" i="1"/>
  <c r="AX91" i="1"/>
  <c r="AX89" i="1"/>
  <c r="AX82" i="1"/>
  <c r="AX81" i="1"/>
  <c r="AX80" i="1"/>
  <c r="AX78" i="1"/>
  <c r="AX75" i="1"/>
  <c r="AX68" i="1"/>
  <c r="AX60" i="1"/>
  <c r="AX56" i="1"/>
  <c r="AX55" i="1"/>
  <c r="AX51" i="1"/>
  <c r="AX47" i="1"/>
  <c r="AX46" i="1"/>
  <c r="AX338" i="1"/>
  <c r="AX39" i="1"/>
  <c r="AX37" i="1"/>
  <c r="AX36" i="1"/>
  <c r="AX354" i="1"/>
  <c r="AY331" i="1"/>
  <c r="AX331" i="1"/>
  <c r="AX29" i="1"/>
  <c r="AX25" i="1"/>
  <c r="AX24" i="1"/>
  <c r="AX23" i="1"/>
  <c r="AX22" i="1"/>
  <c r="AX14" i="1"/>
  <c r="AX11" i="1"/>
  <c r="AX10" i="1"/>
  <c r="AX9" i="1"/>
  <c r="AX151" i="1" l="1"/>
  <c r="AX57" i="1"/>
  <c r="AX17" i="1" l="1"/>
  <c r="G73" i="1"/>
  <c r="AU73" i="1"/>
  <c r="AT73" i="1"/>
  <c r="AG73" i="1"/>
  <c r="AK73" i="1" s="1"/>
  <c r="AO73" i="1" s="1"/>
  <c r="AS73" i="1" s="1"/>
  <c r="F73" i="1"/>
  <c r="AU213" i="1"/>
  <c r="AU211" i="1"/>
  <c r="AU392" i="1"/>
  <c r="AU208" i="1"/>
  <c r="AU204" i="1"/>
  <c r="AU203" i="1"/>
  <c r="AU201" i="1"/>
  <c r="AU200" i="1"/>
  <c r="AU196" i="1"/>
  <c r="AU195" i="1"/>
  <c r="AU386" i="1"/>
  <c r="AU193" i="1"/>
  <c r="AU352" i="1"/>
  <c r="AU186" i="1"/>
  <c r="AU185" i="1"/>
  <c r="AU184" i="1"/>
  <c r="AU182" i="1"/>
  <c r="AU174" i="1"/>
  <c r="AU166" i="1"/>
  <c r="AU161" i="1"/>
  <c r="AU153" i="1"/>
  <c r="AU156" i="1"/>
  <c r="AU144" i="1"/>
  <c r="AU141" i="1"/>
  <c r="AU140" i="1"/>
  <c r="AU139" i="1"/>
  <c r="AU137" i="1"/>
  <c r="AU133" i="1"/>
  <c r="AU127" i="1"/>
  <c r="AU125" i="1"/>
  <c r="AU340" i="1"/>
  <c r="AU116" i="1"/>
  <c r="AU362" i="1"/>
  <c r="AU110" i="1"/>
  <c r="AU101" i="1"/>
  <c r="AU332" i="1"/>
  <c r="AU100" i="1"/>
  <c r="AU96" i="1"/>
  <c r="AU93" i="1"/>
  <c r="AU92" i="1"/>
  <c r="AU90" i="1"/>
  <c r="AU89" i="1"/>
  <c r="AU404" i="1"/>
  <c r="AU86" i="1"/>
  <c r="AU77" i="1"/>
  <c r="AU84" i="1"/>
  <c r="AU80" i="1"/>
  <c r="AU75" i="1"/>
  <c r="H73" i="1" l="1"/>
  <c r="AW73" i="1"/>
  <c r="BA73" i="1" s="1"/>
  <c r="BE73" i="1" s="1"/>
  <c r="BT73" i="1" s="1"/>
  <c r="AU68" i="1"/>
  <c r="AU67" i="1"/>
  <c r="AU64" i="1"/>
  <c r="AU62" i="1"/>
  <c r="AU63" i="1"/>
  <c r="AU61" i="1"/>
  <c r="AU380" i="1"/>
  <c r="AU57" i="1"/>
  <c r="AU55" i="1"/>
  <c r="AU51" i="1"/>
  <c r="AU50" i="1"/>
  <c r="AU47" i="1"/>
  <c r="AU43" i="1"/>
  <c r="AU41" i="1"/>
  <c r="AU37" i="1"/>
  <c r="AU34" i="1"/>
  <c r="AU33" i="1"/>
  <c r="AU354" i="1"/>
  <c r="AU23" i="1"/>
  <c r="AU22" i="1"/>
  <c r="AU376" i="1"/>
  <c r="AU19" i="1"/>
  <c r="AU15" i="1"/>
  <c r="AU9" i="1"/>
  <c r="AU10" i="1"/>
  <c r="G330" i="1" l="1"/>
  <c r="AU330" i="1"/>
  <c r="AT330" i="1"/>
  <c r="AG330" i="1"/>
  <c r="AK330" i="1" s="1"/>
  <c r="AO330" i="1" s="1"/>
  <c r="AS330" i="1" s="1"/>
  <c r="F330" i="1"/>
  <c r="AW330" i="1" l="1"/>
  <c r="BA330" i="1" s="1"/>
  <c r="H330" i="1"/>
  <c r="G331" i="1"/>
  <c r="AU331" i="1"/>
  <c r="AT331" i="1"/>
  <c r="AG331" i="1"/>
  <c r="AK331" i="1" s="1"/>
  <c r="AO331" i="1" s="1"/>
  <c r="AS331" i="1" s="1"/>
  <c r="F331" i="1"/>
  <c r="AU212" i="1"/>
  <c r="AU183" i="1"/>
  <c r="AU169" i="1"/>
  <c r="AU163" i="1"/>
  <c r="AU368" i="1"/>
  <c r="AU134" i="1"/>
  <c r="AU130" i="1"/>
  <c r="AW331" i="1" l="1"/>
  <c r="BA331" i="1" s="1"/>
  <c r="H331" i="1"/>
  <c r="AU35" i="1"/>
  <c r="AU26" i="1"/>
  <c r="AT203" i="1" l="1"/>
  <c r="AT386" i="1"/>
  <c r="AT183" i="1"/>
  <c r="AT169" i="1"/>
  <c r="AT163" i="1"/>
  <c r="AT150" i="1"/>
  <c r="AT368" i="1"/>
  <c r="AT122" i="1"/>
  <c r="AT101" i="1"/>
  <c r="AT93" i="1"/>
  <c r="AT92" i="1"/>
  <c r="AT87" i="1"/>
  <c r="AT78" i="1"/>
  <c r="AT69" i="1"/>
  <c r="AT63" i="1"/>
  <c r="AT62" i="1"/>
  <c r="AT54" i="1"/>
  <c r="AT50" i="1"/>
  <c r="AT46" i="1"/>
  <c r="AT40" i="1"/>
  <c r="AT35" i="1"/>
  <c r="AT26" i="1"/>
  <c r="AT23" i="1"/>
  <c r="AT20" i="1"/>
  <c r="AT15" i="1"/>
  <c r="AT10" i="1"/>
  <c r="G192" i="1"/>
  <c r="AU192" i="1"/>
  <c r="AT192" i="1"/>
  <c r="AG192" i="1"/>
  <c r="AK192" i="1" s="1"/>
  <c r="AO192" i="1" s="1"/>
  <c r="AS192" i="1" s="1"/>
  <c r="F192" i="1"/>
  <c r="AU60" i="1"/>
  <c r="AT60" i="1"/>
  <c r="AG60" i="1"/>
  <c r="AK60" i="1" s="1"/>
  <c r="AO60" i="1" s="1"/>
  <c r="AS60" i="1" s="1"/>
  <c r="F60" i="1"/>
  <c r="G147" i="1"/>
  <c r="AU147" i="1"/>
  <c r="AT147" i="1"/>
  <c r="AQ147" i="1"/>
  <c r="AP147" i="1"/>
  <c r="AM147" i="1"/>
  <c r="AL147" i="1"/>
  <c r="AI147" i="1"/>
  <c r="AG147" i="1"/>
  <c r="F147" i="1"/>
  <c r="AW192" i="1" l="1"/>
  <c r="BA192" i="1" s="1"/>
  <c r="BE192" i="1" s="1"/>
  <c r="BT192" i="1" s="1"/>
  <c r="AW60" i="1"/>
  <c r="BA60" i="1" s="1"/>
  <c r="BE60" i="1" s="1"/>
  <c r="BT60" i="1" s="1"/>
  <c r="H192" i="1"/>
  <c r="AK147" i="1"/>
  <c r="AO147" i="1" s="1"/>
  <c r="AS147" i="1" s="1"/>
  <c r="AW147" i="1" s="1"/>
  <c r="BA147" i="1" s="1"/>
  <c r="BE147" i="1" s="1"/>
  <c r="BT147" i="1" s="1"/>
  <c r="H60" i="1"/>
  <c r="H147" i="1"/>
  <c r="BU329" i="1"/>
  <c r="G329" i="1" s="1"/>
  <c r="AU329" i="1"/>
  <c r="AT329" i="1"/>
  <c r="AG329" i="1"/>
  <c r="AK329" i="1" s="1"/>
  <c r="AO329" i="1" s="1"/>
  <c r="AS329" i="1" s="1"/>
  <c r="F329" i="1"/>
  <c r="G363" i="1"/>
  <c r="AU363" i="1"/>
  <c r="AT363" i="1"/>
  <c r="AG363" i="1"/>
  <c r="AK363" i="1" s="1"/>
  <c r="AO363" i="1" s="1"/>
  <c r="AS363" i="1" s="1"/>
  <c r="F363" i="1"/>
  <c r="AW363" i="1" l="1"/>
  <c r="BA363" i="1" s="1"/>
  <c r="AW329" i="1"/>
  <c r="H329" i="1"/>
  <c r="H363" i="1"/>
  <c r="AT213" i="1" l="1"/>
  <c r="AT212" i="1"/>
  <c r="AT211" i="1"/>
  <c r="AT392" i="1"/>
  <c r="AT204" i="1"/>
  <c r="AT202" i="1"/>
  <c r="AT201" i="1"/>
  <c r="AT345" i="1"/>
  <c r="AT199" i="1"/>
  <c r="AT196" i="1"/>
  <c r="AT195" i="1"/>
  <c r="AT193" i="1"/>
  <c r="AT191" i="1"/>
  <c r="AT188" i="1"/>
  <c r="AT352" i="1"/>
  <c r="AT186" i="1"/>
  <c r="AT185" i="1"/>
  <c r="AT182" i="1"/>
  <c r="AT181" i="1"/>
  <c r="AT179" i="1"/>
  <c r="AT177" i="1"/>
  <c r="AT176" i="1"/>
  <c r="AT172" i="1"/>
  <c r="AT173" i="1"/>
  <c r="AT171" i="1"/>
  <c r="AT375" i="1"/>
  <c r="AT170" i="1"/>
  <c r="AT166" i="1"/>
  <c r="AT165" i="1"/>
  <c r="AT357" i="1"/>
  <c r="AT349" i="1"/>
  <c r="AT385" i="1"/>
  <c r="AT154" i="1"/>
  <c r="AT153" i="1"/>
  <c r="AT151" i="1"/>
  <c r="AT156" i="1"/>
  <c r="AT142" i="1"/>
  <c r="AT140" i="1"/>
  <c r="AT139" i="1"/>
  <c r="AT138" i="1"/>
  <c r="AT136" i="1"/>
  <c r="AT134" i="1"/>
  <c r="AT135" i="1"/>
  <c r="AT133" i="1"/>
  <c r="AT132" i="1"/>
  <c r="AT131" i="1"/>
  <c r="AT130" i="1"/>
  <c r="AT127" i="1"/>
  <c r="AT125" i="1"/>
  <c r="AT123" i="1"/>
  <c r="AT340" i="1"/>
  <c r="AT121" i="1"/>
  <c r="AT117" i="1"/>
  <c r="AT115" i="1"/>
  <c r="AT113" i="1"/>
  <c r="AT109" i="1" l="1"/>
  <c r="AT108" i="1"/>
  <c r="AT335" i="1"/>
  <c r="AT103" i="1"/>
  <c r="AT102" i="1"/>
  <c r="AT397" i="1"/>
  <c r="AT332" i="1"/>
  <c r="AT100" i="1"/>
  <c r="AT96" i="1"/>
  <c r="AT95" i="1"/>
  <c r="AT404" i="1" l="1"/>
  <c r="AT90" i="1"/>
  <c r="AT86" i="1"/>
  <c r="AT85" i="1"/>
  <c r="AT84" i="1"/>
  <c r="AT83" i="1"/>
  <c r="AT82" i="1"/>
  <c r="AT76" i="1"/>
  <c r="AT75" i="1"/>
  <c r="AT70" i="1"/>
  <c r="AT68" i="1"/>
  <c r="AT67" i="1"/>
  <c r="AT64" i="1" l="1"/>
  <c r="AT380" i="1"/>
  <c r="AT61" i="1"/>
  <c r="AT59" i="1"/>
  <c r="AT57" i="1"/>
  <c r="AT45" i="1"/>
  <c r="AT55" i="1"/>
  <c r="AT51" i="1"/>
  <c r="AT47" i="1"/>
  <c r="AT48" i="1"/>
  <c r="AT43" i="1"/>
  <c r="AT37" i="1"/>
  <c r="AT36" i="1"/>
  <c r="AT34" i="1"/>
  <c r="AT33" i="1"/>
  <c r="AT354" i="1"/>
  <c r="AT27" i="1"/>
  <c r="AT24" i="1"/>
  <c r="AT22" i="1"/>
  <c r="AT365" i="1"/>
  <c r="AT19" i="1"/>
  <c r="AT17" i="1"/>
  <c r="AT16" i="1"/>
  <c r="AT14" i="1"/>
  <c r="AT13" i="1"/>
  <c r="AT9" i="1"/>
  <c r="AT12" i="1"/>
  <c r="AT209" i="1" l="1"/>
  <c r="AT200" i="1"/>
  <c r="AT184" i="1"/>
  <c r="AT144" i="1"/>
  <c r="AT143" i="1"/>
  <c r="AT159" i="1" l="1"/>
  <c r="BU323" i="1" l="1"/>
  <c r="G323" i="1" s="1"/>
  <c r="AU323" i="1"/>
  <c r="AT323" i="1"/>
  <c r="AG323" i="1"/>
  <c r="AK323" i="1" s="1"/>
  <c r="AO323" i="1" s="1"/>
  <c r="AS323" i="1" s="1"/>
  <c r="F323" i="1"/>
  <c r="G342" i="1"/>
  <c r="AU342" i="1"/>
  <c r="AT342" i="1"/>
  <c r="AG342" i="1"/>
  <c r="AK342" i="1" s="1"/>
  <c r="AO342" i="1" s="1"/>
  <c r="AS342" i="1" s="1"/>
  <c r="F342" i="1"/>
  <c r="G339" i="1"/>
  <c r="AU339" i="1"/>
  <c r="AT339" i="1"/>
  <c r="AG339" i="1"/>
  <c r="AK339" i="1" s="1"/>
  <c r="AO339" i="1" s="1"/>
  <c r="AS339" i="1" s="1"/>
  <c r="F339" i="1"/>
  <c r="AW323" i="1" l="1"/>
  <c r="H323" i="1"/>
  <c r="AW339" i="1"/>
  <c r="BA339" i="1" s="1"/>
  <c r="AW342" i="1"/>
  <c r="BA342" i="1" s="1"/>
  <c r="H342" i="1"/>
  <c r="H339" i="1"/>
  <c r="BU328" i="1"/>
  <c r="G328" i="1" s="1"/>
  <c r="AU328" i="1"/>
  <c r="AT328" i="1"/>
  <c r="AG328" i="1"/>
  <c r="AK328" i="1" s="1"/>
  <c r="AO328" i="1" s="1"/>
  <c r="AS328" i="1" s="1"/>
  <c r="F328" i="1"/>
  <c r="G98" i="1"/>
  <c r="AU98" i="1"/>
  <c r="AT98" i="1"/>
  <c r="AG98" i="1"/>
  <c r="AK98" i="1" s="1"/>
  <c r="AO98" i="1" s="1"/>
  <c r="AS98" i="1" s="1"/>
  <c r="F98" i="1"/>
  <c r="AW328" i="1" l="1"/>
  <c r="AW98" i="1"/>
  <c r="BA98" i="1" s="1"/>
  <c r="BE98" i="1" s="1"/>
  <c r="BT98" i="1" s="1"/>
  <c r="H328" i="1"/>
  <c r="H98" i="1"/>
  <c r="F210" i="1" l="1"/>
  <c r="G144" i="1"/>
  <c r="AG144" i="1"/>
  <c r="AK144" i="1" s="1"/>
  <c r="AO144" i="1" s="1"/>
  <c r="AS144" i="1" s="1"/>
  <c r="F144" i="1"/>
  <c r="AW144" i="1" l="1"/>
  <c r="BA144" i="1" s="1"/>
  <c r="BE144" i="1" s="1"/>
  <c r="BT144" i="1" s="1"/>
  <c r="H144" i="1"/>
  <c r="AG125" i="1" l="1"/>
  <c r="AK125" i="1" s="1"/>
  <c r="AO125" i="1" s="1"/>
  <c r="AS125" i="1" s="1"/>
  <c r="AW125" i="1" l="1"/>
  <c r="BA125" i="1" s="1"/>
  <c r="BE125" i="1" s="1"/>
  <c r="BT125" i="1" s="1"/>
  <c r="G362" i="1"/>
  <c r="AT362" i="1"/>
  <c r="AG362" i="1"/>
  <c r="AK362" i="1" s="1"/>
  <c r="AO362" i="1" s="1"/>
  <c r="AS362" i="1" s="1"/>
  <c r="F362" i="1"/>
  <c r="AG33" i="1"/>
  <c r="AK33" i="1" s="1"/>
  <c r="AO33" i="1" s="1"/>
  <c r="AS33" i="1" s="1"/>
  <c r="BU322" i="1"/>
  <c r="G322" i="1" s="1"/>
  <c r="AU322" i="1"/>
  <c r="AT322" i="1"/>
  <c r="AG322" i="1"/>
  <c r="AK322" i="1" s="1"/>
  <c r="AO322" i="1" s="1"/>
  <c r="AS322" i="1" s="1"/>
  <c r="F322" i="1"/>
  <c r="AW322" i="1" l="1"/>
  <c r="AW362" i="1"/>
  <c r="BA362" i="1" s="1"/>
  <c r="AW33" i="1"/>
  <c r="BA33" i="1" s="1"/>
  <c r="BE33" i="1" s="1"/>
  <c r="BT33" i="1" s="1"/>
  <c r="H362" i="1"/>
  <c r="H322" i="1"/>
  <c r="G33" i="1" l="1"/>
  <c r="F33" i="1"/>
  <c r="G125" i="1"/>
  <c r="F125" i="1"/>
  <c r="G392" i="1"/>
  <c r="AG392" i="1"/>
  <c r="AK392" i="1" s="1"/>
  <c r="AO392" i="1" s="1"/>
  <c r="AS392" i="1" s="1"/>
  <c r="F392" i="1"/>
  <c r="G352" i="1"/>
  <c r="AG352" i="1"/>
  <c r="AK352" i="1" s="1"/>
  <c r="AO352" i="1" s="1"/>
  <c r="AS352" i="1" s="1"/>
  <c r="F352" i="1"/>
  <c r="G183" i="1"/>
  <c r="AG183" i="1"/>
  <c r="AK183" i="1" s="1"/>
  <c r="AO183" i="1" s="1"/>
  <c r="AS183" i="1" s="1"/>
  <c r="F183" i="1"/>
  <c r="H125" i="1" l="1"/>
  <c r="H33" i="1"/>
  <c r="AW392" i="1"/>
  <c r="BA392" i="1" s="1"/>
  <c r="BE392" i="1" s="1"/>
  <c r="AW352" i="1"/>
  <c r="BA352" i="1" s="1"/>
  <c r="AW183" i="1"/>
  <c r="BA183" i="1" s="1"/>
  <c r="BE183" i="1" s="1"/>
  <c r="BT183" i="1" s="1"/>
  <c r="H352" i="1"/>
  <c r="H392" i="1"/>
  <c r="H183" i="1"/>
  <c r="G375" i="1"/>
  <c r="AU375" i="1"/>
  <c r="AG375" i="1"/>
  <c r="AK375" i="1" s="1"/>
  <c r="AO375" i="1" s="1"/>
  <c r="AS375" i="1" s="1"/>
  <c r="F375" i="1"/>
  <c r="AW375" i="1" l="1"/>
  <c r="BA375" i="1" s="1"/>
  <c r="BE375" i="1" s="1"/>
  <c r="H375" i="1"/>
  <c r="BU325" i="1"/>
  <c r="G325" i="1" s="1"/>
  <c r="AU325" i="1"/>
  <c r="AT325" i="1"/>
  <c r="AG325" i="1"/>
  <c r="AK325" i="1" s="1"/>
  <c r="AO325" i="1" s="1"/>
  <c r="AS325" i="1" s="1"/>
  <c r="F325" i="1"/>
  <c r="G130" i="1"/>
  <c r="AG130" i="1"/>
  <c r="AK130" i="1" s="1"/>
  <c r="AO130" i="1" s="1"/>
  <c r="AS130" i="1" s="1"/>
  <c r="F130" i="1"/>
  <c r="G113" i="1"/>
  <c r="AU113" i="1"/>
  <c r="AG113" i="1"/>
  <c r="AK113" i="1" s="1"/>
  <c r="AO113" i="1" s="1"/>
  <c r="AS113" i="1" s="1"/>
  <c r="F113" i="1"/>
  <c r="G397" i="1"/>
  <c r="AU397" i="1"/>
  <c r="AG397" i="1"/>
  <c r="AK397" i="1" s="1"/>
  <c r="AO397" i="1" s="1"/>
  <c r="AS397" i="1" s="1"/>
  <c r="F397" i="1"/>
  <c r="G93" i="1"/>
  <c r="AG93" i="1"/>
  <c r="AK93" i="1" s="1"/>
  <c r="AO93" i="1" s="1"/>
  <c r="AS93" i="1" s="1"/>
  <c r="F93" i="1"/>
  <c r="G61" i="1"/>
  <c r="AG61" i="1"/>
  <c r="AK61" i="1" s="1"/>
  <c r="AO61" i="1" s="1"/>
  <c r="AS61" i="1" s="1"/>
  <c r="F61" i="1"/>
  <c r="AW325" i="1" l="1"/>
  <c r="AW130" i="1"/>
  <c r="BA130" i="1" s="1"/>
  <c r="BE130" i="1" s="1"/>
  <c r="BT130" i="1" s="1"/>
  <c r="H325" i="1"/>
  <c r="AW113" i="1"/>
  <c r="BA113" i="1" s="1"/>
  <c r="BE113" i="1" s="1"/>
  <c r="BT113" i="1" s="1"/>
  <c r="H130" i="1"/>
  <c r="H61" i="1"/>
  <c r="AW397" i="1"/>
  <c r="BA397" i="1" s="1"/>
  <c r="BE397" i="1" s="1"/>
  <c r="BT397" i="1" s="1"/>
  <c r="H113" i="1"/>
  <c r="AW93" i="1"/>
  <c r="BA93" i="1" s="1"/>
  <c r="BE93" i="1" s="1"/>
  <c r="BT93" i="1" s="1"/>
  <c r="AW61" i="1"/>
  <c r="BA61" i="1" s="1"/>
  <c r="BE61" i="1" s="1"/>
  <c r="BT61" i="1" s="1"/>
  <c r="H397" i="1"/>
  <c r="H93" i="1"/>
  <c r="G376" i="1"/>
  <c r="AT376" i="1"/>
  <c r="AG376" i="1"/>
  <c r="AK376" i="1" s="1"/>
  <c r="AO376" i="1" s="1"/>
  <c r="AS376" i="1" s="1"/>
  <c r="F376" i="1"/>
  <c r="H210" i="1"/>
  <c r="AG210" i="1"/>
  <c r="AK210" i="1" s="1"/>
  <c r="AO210" i="1" s="1"/>
  <c r="AS210" i="1" s="1"/>
  <c r="AT341" i="1"/>
  <c r="AT358" i="1"/>
  <c r="BU326" i="1"/>
  <c r="G326" i="1" s="1"/>
  <c r="H326" i="1" s="1"/>
  <c r="AU326" i="1"/>
  <c r="AT326" i="1"/>
  <c r="AG326" i="1"/>
  <c r="AK326" i="1" s="1"/>
  <c r="AO326" i="1" s="1"/>
  <c r="AS326" i="1" s="1"/>
  <c r="AT141" i="1"/>
  <c r="AW210" i="1" l="1"/>
  <c r="BA210" i="1" s="1"/>
  <c r="BE210" i="1" s="1"/>
  <c r="BT210" i="1" s="1"/>
  <c r="H376" i="1"/>
  <c r="AW376" i="1"/>
  <c r="BA376" i="1" s="1"/>
  <c r="BE376" i="1" s="1"/>
  <c r="AW326" i="1"/>
  <c r="BU321" i="1"/>
  <c r="BU324" i="1"/>
  <c r="BU320" i="1"/>
  <c r="BU319" i="1"/>
  <c r="BU318" i="1"/>
  <c r="BU317" i="1"/>
  <c r="BU327" i="1"/>
  <c r="AQ404" i="1" l="1"/>
  <c r="AQ345" i="1" l="1"/>
  <c r="AQ177" i="1"/>
  <c r="AQ165" i="1"/>
  <c r="AQ100" i="1"/>
  <c r="AQ212" i="1" l="1"/>
  <c r="G212" i="1"/>
  <c r="AP212" i="1"/>
  <c r="AG212" i="1"/>
  <c r="AK212" i="1" s="1"/>
  <c r="AO212" i="1" s="1"/>
  <c r="F212" i="1"/>
  <c r="AQ213" i="1"/>
  <c r="AQ211" i="1"/>
  <c r="AQ208" i="1"/>
  <c r="AQ204" i="1"/>
  <c r="AQ203" i="1"/>
  <c r="AQ199" i="1"/>
  <c r="AQ195" i="1"/>
  <c r="AQ191" i="1"/>
  <c r="AQ188" i="1"/>
  <c r="AQ186" i="1"/>
  <c r="AQ185" i="1"/>
  <c r="AQ343" i="1"/>
  <c r="AQ179" i="1"/>
  <c r="AQ174" i="1"/>
  <c r="AQ173" i="1"/>
  <c r="AQ170" i="1"/>
  <c r="AQ324" i="1"/>
  <c r="AQ166" i="1"/>
  <c r="AQ163" i="1"/>
  <c r="AQ385" i="1"/>
  <c r="AQ155" i="1"/>
  <c r="AQ154" i="1"/>
  <c r="AQ156" i="1"/>
  <c r="AQ141" i="1"/>
  <c r="AQ140" i="1"/>
  <c r="AQ138" i="1"/>
  <c r="AQ137" i="1"/>
  <c r="AQ368" i="1"/>
  <c r="AQ136" i="1"/>
  <c r="AQ134" i="1"/>
  <c r="AQ131" i="1"/>
  <c r="AQ127" i="1"/>
  <c r="AQ124" i="1"/>
  <c r="AQ122" i="1"/>
  <c r="AQ111" i="1"/>
  <c r="AQ318" i="1"/>
  <c r="AQ104" i="1"/>
  <c r="AQ92" i="1"/>
  <c r="AQ91" i="1"/>
  <c r="AQ90" i="1"/>
  <c r="AQ88" i="1"/>
  <c r="AQ89" i="1"/>
  <c r="AQ86" i="1"/>
  <c r="AQ78" i="1"/>
  <c r="AQ83" i="1"/>
  <c r="AQ81" i="1"/>
  <c r="AQ70" i="1"/>
  <c r="AQ68" i="1"/>
  <c r="AQ317" i="1"/>
  <c r="AQ64" i="1"/>
  <c r="AQ63" i="1"/>
  <c r="AQ62" i="1"/>
  <c r="AQ380" i="1"/>
  <c r="AQ57" i="1"/>
  <c r="AQ45" i="1"/>
  <c r="AQ55" i="1"/>
  <c r="AQ54" i="1"/>
  <c r="AQ51" i="1"/>
  <c r="AQ338" i="1"/>
  <c r="AQ50" i="1"/>
  <c r="AQ46" i="1"/>
  <c r="AQ327" i="1"/>
  <c r="AQ43" i="1"/>
  <c r="AQ41" i="1"/>
  <c r="AQ40" i="1"/>
  <c r="AQ35" i="1"/>
  <c r="AQ22" i="1"/>
  <c r="AQ365" i="1"/>
  <c r="AQ20" i="1"/>
  <c r="AQ19" i="1"/>
  <c r="AQ15" i="1"/>
  <c r="AQ14" i="1"/>
  <c r="AQ13" i="1"/>
  <c r="AQ9" i="1"/>
  <c r="AQ12" i="1"/>
  <c r="H212" i="1" l="1"/>
  <c r="AS212" i="1"/>
  <c r="AW212" i="1" s="1"/>
  <c r="BA212" i="1" s="1"/>
  <c r="BE212" i="1" s="1"/>
  <c r="BT212" i="1" s="1"/>
  <c r="AQ96" i="1"/>
  <c r="AQ206" i="1" l="1"/>
  <c r="AQ193" i="1"/>
  <c r="AQ359" i="1"/>
  <c r="AQ341" i="1"/>
  <c r="AQ184" i="1"/>
  <c r="AQ182" i="1"/>
  <c r="AQ172" i="1"/>
  <c r="AQ349" i="1"/>
  <c r="AQ153" i="1"/>
  <c r="AQ151" i="1"/>
  <c r="AQ150" i="1" l="1"/>
  <c r="AQ142" i="1"/>
  <c r="AQ133" i="1"/>
  <c r="AQ123" i="1"/>
  <c r="AQ340" i="1"/>
  <c r="AQ116" i="1"/>
  <c r="AQ110" i="1"/>
  <c r="AQ109" i="1"/>
  <c r="AQ335" i="1"/>
  <c r="AQ332" i="1"/>
  <c r="AQ101" i="1"/>
  <c r="AQ67" i="1"/>
  <c r="AQ37" i="1"/>
  <c r="AQ34" i="1"/>
  <c r="AQ17" i="1"/>
  <c r="AQ11" i="1"/>
  <c r="AQ10" i="1"/>
  <c r="AU359" i="1"/>
  <c r="AT359" i="1"/>
  <c r="G359" i="1"/>
  <c r="AP359" i="1"/>
  <c r="AG359" i="1"/>
  <c r="AK359" i="1" s="1"/>
  <c r="AO359" i="1" s="1"/>
  <c r="F359" i="1"/>
  <c r="AU150" i="1"/>
  <c r="G150" i="1"/>
  <c r="AP150" i="1"/>
  <c r="AG150" i="1"/>
  <c r="AK150" i="1" s="1"/>
  <c r="AO150" i="1" s="1"/>
  <c r="F150" i="1"/>
  <c r="H150" i="1" l="1"/>
  <c r="AS359" i="1"/>
  <c r="AW359" i="1" s="1"/>
  <c r="BA359" i="1" s="1"/>
  <c r="AS150" i="1"/>
  <c r="AW150" i="1" s="1"/>
  <c r="BA150" i="1" s="1"/>
  <c r="BE150" i="1" s="1"/>
  <c r="BT150" i="1" s="1"/>
  <c r="H359" i="1"/>
  <c r="AQ200" i="1"/>
  <c r="AQ161" i="1"/>
  <c r="AQ84" i="1"/>
  <c r="AQ80" i="1"/>
  <c r="AQ77" i="1"/>
  <c r="AQ76" i="1"/>
  <c r="AQ69" i="1"/>
  <c r="AQ47" i="1"/>
  <c r="AQ23" i="1"/>
  <c r="AQ108" i="1" l="1"/>
  <c r="AQ59" i="1"/>
  <c r="G63" i="1"/>
  <c r="AP63" i="1"/>
  <c r="AG63" i="1"/>
  <c r="AK63" i="1" s="1"/>
  <c r="AO63" i="1" s="1"/>
  <c r="F63" i="1"/>
  <c r="BU315" i="1"/>
  <c r="G315" i="1" s="1"/>
  <c r="AU315" i="1"/>
  <c r="AT315" i="1"/>
  <c r="AQ315" i="1"/>
  <c r="AP315" i="1"/>
  <c r="F315" i="1"/>
  <c r="AS63" i="1" l="1"/>
  <c r="AW63" i="1" s="1"/>
  <c r="BA63" i="1" s="1"/>
  <c r="BE63" i="1" s="1"/>
  <c r="BT63" i="1" s="1"/>
  <c r="H63" i="1"/>
  <c r="H315" i="1"/>
  <c r="G165" i="1"/>
  <c r="AU165" i="1"/>
  <c r="AP165" i="1"/>
  <c r="AG165" i="1"/>
  <c r="AK165" i="1" s="1"/>
  <c r="AO165" i="1" s="1"/>
  <c r="F165" i="1"/>
  <c r="G122" i="1"/>
  <c r="AU122" i="1"/>
  <c r="AP122" i="1"/>
  <c r="AG122" i="1"/>
  <c r="AK122" i="1" s="1"/>
  <c r="AO122" i="1" s="1"/>
  <c r="F122" i="1"/>
  <c r="AS165" i="1" l="1"/>
  <c r="AW165" i="1" s="1"/>
  <c r="BA165" i="1" s="1"/>
  <c r="BE165" i="1" s="1"/>
  <c r="BT165" i="1" s="1"/>
  <c r="H165" i="1"/>
  <c r="AS122" i="1"/>
  <c r="AW122" i="1" s="1"/>
  <c r="BA122" i="1" s="1"/>
  <c r="BE122" i="1" s="1"/>
  <c r="BT122" i="1" s="1"/>
  <c r="H122" i="1"/>
  <c r="G196" i="1" l="1"/>
  <c r="AQ196" i="1"/>
  <c r="AP196" i="1"/>
  <c r="AG196" i="1"/>
  <c r="AK196" i="1" s="1"/>
  <c r="AO196" i="1" s="1"/>
  <c r="F196" i="1"/>
  <c r="AU349" i="1"/>
  <c r="G349" i="1"/>
  <c r="AP349" i="1"/>
  <c r="AG349" i="1"/>
  <c r="AK349" i="1" s="1"/>
  <c r="AO349" i="1" s="1"/>
  <c r="F349" i="1"/>
  <c r="AU83" i="1"/>
  <c r="AP83" i="1"/>
  <c r="G83" i="1"/>
  <c r="AG83" i="1"/>
  <c r="AK83" i="1" s="1"/>
  <c r="AO83" i="1" s="1"/>
  <c r="F83" i="1"/>
  <c r="AU27" i="1"/>
  <c r="G27" i="1"/>
  <c r="AQ27" i="1"/>
  <c r="AP27" i="1"/>
  <c r="AG27" i="1"/>
  <c r="AK27" i="1" s="1"/>
  <c r="AO27" i="1" s="1"/>
  <c r="F27" i="1"/>
  <c r="G177" i="1"/>
  <c r="AU177" i="1"/>
  <c r="AP177" i="1"/>
  <c r="AG177" i="1"/>
  <c r="AK177" i="1" s="1"/>
  <c r="AO177" i="1" s="1"/>
  <c r="F177" i="1"/>
  <c r="AP385" i="1"/>
  <c r="AQ181" i="1"/>
  <c r="AP181" i="1"/>
  <c r="AP141" i="1"/>
  <c r="AP138" i="1"/>
  <c r="AP137" i="1"/>
  <c r="AP134" i="1"/>
  <c r="AQ112" i="1"/>
  <c r="AP112" i="1"/>
  <c r="AP318" i="1"/>
  <c r="AQ106" i="1"/>
  <c r="AP106" i="1"/>
  <c r="AP332" i="1"/>
  <c r="AP101" i="1"/>
  <c r="AP96" i="1"/>
  <c r="AP91" i="1"/>
  <c r="AP77" i="1"/>
  <c r="AP84" i="1"/>
  <c r="AP80" i="1"/>
  <c r="AQ75" i="1"/>
  <c r="AP75" i="1"/>
  <c r="AP69" i="1"/>
  <c r="AP68" i="1"/>
  <c r="AP380" i="1"/>
  <c r="AP45" i="1"/>
  <c r="AP40" i="1"/>
  <c r="AP20" i="1"/>
  <c r="AP13" i="1"/>
  <c r="AP151" i="1"/>
  <c r="AS349" i="1" l="1"/>
  <c r="AW349" i="1" s="1"/>
  <c r="BA349" i="1" s="1"/>
  <c r="AS196" i="1"/>
  <c r="AW196" i="1" s="1"/>
  <c r="BA196" i="1" s="1"/>
  <c r="BE196" i="1" s="1"/>
  <c r="BT196" i="1" s="1"/>
  <c r="H83" i="1"/>
  <c r="H196" i="1"/>
  <c r="H349" i="1"/>
  <c r="AS83" i="1"/>
  <c r="AW83" i="1" s="1"/>
  <c r="BA83" i="1" s="1"/>
  <c r="BE83" i="1" s="1"/>
  <c r="BT83" i="1" s="1"/>
  <c r="AS27" i="1"/>
  <c r="AW27" i="1" s="1"/>
  <c r="BA27" i="1" s="1"/>
  <c r="BE27" i="1" s="1"/>
  <c r="BT27" i="1" s="1"/>
  <c r="AS177" i="1"/>
  <c r="AW177" i="1" s="1"/>
  <c r="BA177" i="1" s="1"/>
  <c r="BE177" i="1" s="1"/>
  <c r="BT177" i="1" s="1"/>
  <c r="H27" i="1"/>
  <c r="H177" i="1"/>
  <c r="BU313" i="1"/>
  <c r="G313" i="1" s="1"/>
  <c r="AU313" i="1"/>
  <c r="AT313" i="1"/>
  <c r="AQ313" i="1"/>
  <c r="AP313" i="1"/>
  <c r="AM313" i="1"/>
  <c r="AL313" i="1"/>
  <c r="AG313" i="1"/>
  <c r="AK313" i="1" s="1"/>
  <c r="F313" i="1"/>
  <c r="BU306" i="1"/>
  <c r="G306" i="1" s="1"/>
  <c r="AU306" i="1"/>
  <c r="AT306" i="1"/>
  <c r="AQ306" i="1"/>
  <c r="AP306" i="1"/>
  <c r="AG306" i="1"/>
  <c r="AK306" i="1" s="1"/>
  <c r="AO306" i="1" s="1"/>
  <c r="F306" i="1"/>
  <c r="G140" i="1"/>
  <c r="AP140" i="1"/>
  <c r="AM140" i="1"/>
  <c r="AL140" i="1"/>
  <c r="AG140" i="1"/>
  <c r="AK140" i="1" s="1"/>
  <c r="F140" i="1"/>
  <c r="AS306" i="1" l="1"/>
  <c r="AW306" i="1" s="1"/>
  <c r="H313" i="1"/>
  <c r="AO313" i="1"/>
  <c r="AS313" i="1" s="1"/>
  <c r="AW313" i="1" s="1"/>
  <c r="H140" i="1"/>
  <c r="AO140" i="1"/>
  <c r="AS140" i="1" s="1"/>
  <c r="AW140" i="1" s="1"/>
  <c r="BA140" i="1" s="1"/>
  <c r="BE140" i="1" s="1"/>
  <c r="BT140" i="1" s="1"/>
  <c r="H306" i="1"/>
  <c r="G404" i="1" l="1"/>
  <c r="AP404" i="1"/>
  <c r="AM404" i="1"/>
  <c r="AL404" i="1"/>
  <c r="AG404" i="1"/>
  <c r="AK404" i="1" s="1"/>
  <c r="F404" i="1"/>
  <c r="AO404" i="1" l="1"/>
  <c r="AS404" i="1" s="1"/>
  <c r="AW404" i="1" s="1"/>
  <c r="BA404" i="1" s="1"/>
  <c r="BE404" i="1" s="1"/>
  <c r="BT404" i="1" s="1"/>
  <c r="H404" i="1"/>
  <c r="AU312" i="1" l="1"/>
  <c r="AT312" i="1"/>
  <c r="BU312" i="1"/>
  <c r="G312" i="1" s="1"/>
  <c r="AQ312" i="1"/>
  <c r="AP312" i="1"/>
  <c r="AG312" i="1"/>
  <c r="AK312" i="1" s="1"/>
  <c r="AO312" i="1" s="1"/>
  <c r="F312" i="1"/>
  <c r="AP59" i="1"/>
  <c r="AS312" i="1" l="1"/>
  <c r="AW312" i="1" s="1"/>
  <c r="H312" i="1"/>
  <c r="AP82" i="1"/>
  <c r="AP48" i="1"/>
  <c r="AP16" i="1"/>
  <c r="BU316" i="1"/>
  <c r="G316" i="1" s="1"/>
  <c r="AU316" i="1"/>
  <c r="AT316" i="1"/>
  <c r="AQ316" i="1"/>
  <c r="AP316" i="1"/>
  <c r="AG316" i="1"/>
  <c r="AK316" i="1" s="1"/>
  <c r="AO316" i="1" s="1"/>
  <c r="F316" i="1"/>
  <c r="AT41" i="1"/>
  <c r="AU40" i="1"/>
  <c r="G41" i="1"/>
  <c r="AP41" i="1"/>
  <c r="AG41" i="1"/>
  <c r="AK41" i="1" s="1"/>
  <c r="AO41" i="1" s="1"/>
  <c r="F41" i="1"/>
  <c r="H41" i="1" l="1"/>
  <c r="AS41" i="1"/>
  <c r="AW41" i="1" s="1"/>
  <c r="BA41" i="1" s="1"/>
  <c r="BE41" i="1" s="1"/>
  <c r="BT41" i="1" s="1"/>
  <c r="AS316" i="1"/>
  <c r="AW316" i="1" s="1"/>
  <c r="H316" i="1"/>
  <c r="AP201" i="1"/>
  <c r="AP199" i="1"/>
  <c r="AP174" i="1"/>
  <c r="AP161" i="1"/>
  <c r="AP88" i="1"/>
  <c r="AP89" i="1"/>
  <c r="AP338" i="1"/>
  <c r="AP15" i="1"/>
  <c r="AU310" i="1" l="1"/>
  <c r="AT310" i="1"/>
  <c r="BU310" i="1"/>
  <c r="G310" i="1" s="1"/>
  <c r="AQ310" i="1"/>
  <c r="AP310" i="1"/>
  <c r="AG310" i="1"/>
  <c r="AK310" i="1" s="1"/>
  <c r="AO310" i="1" s="1"/>
  <c r="F310" i="1"/>
  <c r="AU343" i="1"/>
  <c r="AT343" i="1"/>
  <c r="G343" i="1"/>
  <c r="AP343" i="1"/>
  <c r="AG343" i="1"/>
  <c r="AK343" i="1" s="1"/>
  <c r="AO343" i="1" s="1"/>
  <c r="F343" i="1"/>
  <c r="AS310" i="1" l="1"/>
  <c r="AW310" i="1" s="1"/>
  <c r="AS343" i="1"/>
  <c r="AW343" i="1" s="1"/>
  <c r="BA343" i="1" s="1"/>
  <c r="H310" i="1"/>
  <c r="H343" i="1"/>
  <c r="G340" i="1" l="1"/>
  <c r="AP340" i="1"/>
  <c r="AG340" i="1"/>
  <c r="AK340" i="1" s="1"/>
  <c r="AO340" i="1" s="1"/>
  <c r="F340" i="1"/>
  <c r="AU308" i="1"/>
  <c r="AT308" i="1"/>
  <c r="BU308" i="1"/>
  <c r="G308" i="1" s="1"/>
  <c r="AQ308" i="1"/>
  <c r="AP308" i="1"/>
  <c r="AG308" i="1"/>
  <c r="AK308" i="1" s="1"/>
  <c r="AO308" i="1" s="1"/>
  <c r="F308" i="1"/>
  <c r="G380" i="1"/>
  <c r="AG380" i="1"/>
  <c r="AK380" i="1" s="1"/>
  <c r="AO380" i="1" s="1"/>
  <c r="F380" i="1"/>
  <c r="AS380" i="1" l="1"/>
  <c r="AW380" i="1" s="1"/>
  <c r="BA380" i="1" s="1"/>
  <c r="BE380" i="1" s="1"/>
  <c r="AS340" i="1"/>
  <c r="AW340" i="1" s="1"/>
  <c r="BA340" i="1" s="1"/>
  <c r="AS308" i="1"/>
  <c r="AW308" i="1" s="1"/>
  <c r="H340" i="1"/>
  <c r="H380" i="1"/>
  <c r="H308" i="1"/>
  <c r="AU302" i="1"/>
  <c r="AT302" i="1"/>
  <c r="BU302" i="1"/>
  <c r="G302" i="1" s="1"/>
  <c r="AQ302" i="1"/>
  <c r="AP302" i="1"/>
  <c r="AG302" i="1"/>
  <c r="AK302" i="1" s="1"/>
  <c r="AO302" i="1" s="1"/>
  <c r="F302" i="1"/>
  <c r="AS302" i="1" l="1"/>
  <c r="AW302" i="1" s="1"/>
  <c r="H302" i="1"/>
  <c r="AU365" i="1"/>
  <c r="G365" i="1"/>
  <c r="AP365" i="1"/>
  <c r="AG365" i="1"/>
  <c r="AK365" i="1" s="1"/>
  <c r="AO365" i="1" s="1"/>
  <c r="F365" i="1"/>
  <c r="AP200" i="1"/>
  <c r="AP142" i="1"/>
  <c r="AP90" i="1"/>
  <c r="AP19" i="1"/>
  <c r="AS365" i="1" l="1"/>
  <c r="AW365" i="1" s="1"/>
  <c r="BA365" i="1" s="1"/>
  <c r="BE365" i="1" s="1"/>
  <c r="H365" i="1"/>
  <c r="G345" i="1"/>
  <c r="AU345" i="1"/>
  <c r="AP345" i="1"/>
  <c r="AG345" i="1"/>
  <c r="AK345" i="1" s="1"/>
  <c r="AO345" i="1" s="1"/>
  <c r="F345" i="1"/>
  <c r="H345" i="1" l="1"/>
  <c r="AS345" i="1"/>
  <c r="AW345" i="1" s="1"/>
  <c r="BA345" i="1" s="1"/>
  <c r="AP184" i="1" l="1"/>
  <c r="G184" i="1"/>
  <c r="AG184" i="1"/>
  <c r="AK184" i="1" s="1"/>
  <c r="AO184" i="1" s="1"/>
  <c r="F184" i="1"/>
  <c r="AP186" i="1"/>
  <c r="AP170" i="1"/>
  <c r="AP319" i="1"/>
  <c r="AP111" i="1"/>
  <c r="H184" i="1" l="1"/>
  <c r="AS184" i="1"/>
  <c r="AW184" i="1" s="1"/>
  <c r="BA184" i="1" s="1"/>
  <c r="BE184" i="1" s="1"/>
  <c r="BT184" i="1" s="1"/>
  <c r="AU317" i="1" l="1"/>
  <c r="AT317" i="1"/>
  <c r="G317" i="1"/>
  <c r="AP317" i="1"/>
  <c r="AG317" i="1"/>
  <c r="AK317" i="1" s="1"/>
  <c r="AO317" i="1" s="1"/>
  <c r="F317" i="1"/>
  <c r="G40" i="1"/>
  <c r="AM40" i="1"/>
  <c r="AL40" i="1"/>
  <c r="AG40" i="1"/>
  <c r="AK40" i="1" s="1"/>
  <c r="F40" i="1"/>
  <c r="AU20" i="1"/>
  <c r="G20" i="1"/>
  <c r="AM20" i="1"/>
  <c r="AL20" i="1"/>
  <c r="AG20" i="1"/>
  <c r="AK20" i="1" s="1"/>
  <c r="F20" i="1"/>
  <c r="H20" i="1" l="1"/>
  <c r="AS317" i="1"/>
  <c r="AW317" i="1" s="1"/>
  <c r="H40" i="1"/>
  <c r="AO40" i="1"/>
  <c r="AS40" i="1" s="1"/>
  <c r="AW40" i="1" s="1"/>
  <c r="BA40" i="1" s="1"/>
  <c r="BE40" i="1" s="1"/>
  <c r="BT40" i="1" s="1"/>
  <c r="H317" i="1"/>
  <c r="AO20" i="1"/>
  <c r="AS20" i="1" s="1"/>
  <c r="AW20" i="1" s="1"/>
  <c r="BA20" i="1" s="1"/>
  <c r="BE20" i="1" s="1"/>
  <c r="BT20" i="1" s="1"/>
  <c r="AP213" i="1" l="1"/>
  <c r="AP341" i="1"/>
  <c r="AP176" i="1"/>
  <c r="AP169" i="1"/>
  <c r="AP159" i="1"/>
  <c r="AP133" i="1"/>
  <c r="AP43" i="1"/>
  <c r="AP25" i="1"/>
  <c r="AP17" i="1"/>
  <c r="BU304" i="1" l="1"/>
  <c r="BU314" i="1"/>
  <c r="BU305" i="1"/>
  <c r="BU309" i="1"/>
  <c r="G100" i="1"/>
  <c r="G91" i="1"/>
  <c r="BU301" i="1"/>
  <c r="BU307" i="1"/>
  <c r="BU299" i="1"/>
  <c r="BU300" i="1"/>
  <c r="BU303" i="1"/>
  <c r="BU311" i="1"/>
  <c r="AU209" i="1"/>
  <c r="AT208" i="1"/>
  <c r="AU206" i="1"/>
  <c r="AT206" i="1"/>
  <c r="AU202" i="1"/>
  <c r="AU199" i="1"/>
  <c r="AU360" i="1"/>
  <c r="AT360" i="1"/>
  <c r="AU191" i="1"/>
  <c r="AU321" i="1"/>
  <c r="AT321" i="1"/>
  <c r="AU188" i="1"/>
  <c r="AU369" i="1"/>
  <c r="AT369" i="1"/>
  <c r="AU341" i="1"/>
  <c r="AU358" i="1"/>
  <c r="AU181" i="1"/>
  <c r="AU180" i="1"/>
  <c r="AT180" i="1"/>
  <c r="AU179" i="1"/>
  <c r="AU176" i="1"/>
  <c r="AT174" i="1"/>
  <c r="AU173" i="1"/>
  <c r="AU172" i="1"/>
  <c r="AU171" i="1"/>
  <c r="AU170" i="1"/>
  <c r="AU324" i="1"/>
  <c r="AT324" i="1"/>
  <c r="AU391" i="1"/>
  <c r="AT391" i="1"/>
  <c r="AU357" i="1"/>
  <c r="AU304" i="1"/>
  <c r="AT304" i="1"/>
  <c r="AT161" i="1"/>
  <c r="AU159" i="1"/>
  <c r="AU385" i="1"/>
  <c r="AU155" i="1"/>
  <c r="AT155" i="1"/>
  <c r="AU154" i="1"/>
  <c r="AU151" i="1"/>
  <c r="AU314" i="1"/>
  <c r="AT314" i="1"/>
  <c r="AU143" i="1"/>
  <c r="AU142" i="1"/>
  <c r="AU138" i="1"/>
  <c r="AT137" i="1"/>
  <c r="AU136" i="1"/>
  <c r="AU135" i="1"/>
  <c r="AU132" i="1"/>
  <c r="AU131" i="1"/>
  <c r="AU305" i="1"/>
  <c r="AT305" i="1"/>
  <c r="AU309" i="1"/>
  <c r="AT309" i="1"/>
  <c r="AU126" i="1"/>
  <c r="AT126" i="1"/>
  <c r="AU124" i="1"/>
  <c r="AT124" i="1"/>
  <c r="AU123" i="1"/>
  <c r="AU320" i="1"/>
  <c r="AT320" i="1"/>
  <c r="AU319" i="1"/>
  <c r="AT319" i="1"/>
  <c r="AU121" i="1"/>
  <c r="AU119" i="1"/>
  <c r="AT119" i="1"/>
  <c r="AU117" i="1"/>
  <c r="AT116" i="1"/>
  <c r="AU115" i="1"/>
  <c r="AU114" i="1"/>
  <c r="AT114" i="1"/>
  <c r="AU112" i="1"/>
  <c r="AT112" i="1"/>
  <c r="AU318" i="1"/>
  <c r="AT318" i="1"/>
  <c r="AT110" i="1"/>
  <c r="AU109" i="1"/>
  <c r="AU108" i="1"/>
  <c r="AU106" i="1"/>
  <c r="AT106" i="1"/>
  <c r="AU335" i="1"/>
  <c r="AU104" i="1"/>
  <c r="AT104" i="1"/>
  <c r="AU103" i="1"/>
  <c r="AU102" i="1"/>
  <c r="AU95" i="1"/>
  <c r="AU94" i="1"/>
  <c r="AT94" i="1"/>
  <c r="AU91" i="1"/>
  <c r="AT91" i="1"/>
  <c r="AT89" i="1"/>
  <c r="AU88" i="1"/>
  <c r="AT88" i="1"/>
  <c r="AU87" i="1"/>
  <c r="AU85" i="1"/>
  <c r="AU301" i="1"/>
  <c r="AT301" i="1"/>
  <c r="AU307" i="1"/>
  <c r="AT307" i="1"/>
  <c r="AU82" i="1"/>
  <c r="AU81" i="1"/>
  <c r="AT81" i="1"/>
  <c r="AT80" i="1"/>
  <c r="AU78" i="1"/>
  <c r="AT77" i="1"/>
  <c r="AU299" i="1"/>
  <c r="AT299" i="1"/>
  <c r="AU76" i="1"/>
  <c r="AU300" i="1"/>
  <c r="AT300" i="1"/>
  <c r="AU70" i="1"/>
  <c r="AU69" i="1"/>
  <c r="AU303" i="1"/>
  <c r="AT303" i="1"/>
  <c r="AU66" i="1"/>
  <c r="AT66" i="1"/>
  <c r="AU59" i="1"/>
  <c r="AU56" i="1"/>
  <c r="AT56" i="1"/>
  <c r="AU48" i="1"/>
  <c r="AU46" i="1"/>
  <c r="AU45" i="1"/>
  <c r="AU338" i="1"/>
  <c r="AT338" i="1"/>
  <c r="AU327" i="1"/>
  <c r="AT327" i="1"/>
  <c r="AU39" i="1"/>
  <c r="AT39" i="1"/>
  <c r="AU36" i="1"/>
  <c r="AU29" i="1"/>
  <c r="AT29" i="1"/>
  <c r="AU311" i="1"/>
  <c r="AT311" i="1"/>
  <c r="AU25" i="1"/>
  <c r="AT25" i="1"/>
  <c r="AU24" i="1"/>
  <c r="AU17" i="1"/>
  <c r="AU16" i="1"/>
  <c r="AU14" i="1"/>
  <c r="AU13" i="1"/>
  <c r="AU11" i="1"/>
  <c r="AT11" i="1"/>
  <c r="AP211" i="1" l="1"/>
  <c r="AQ209" i="1"/>
  <c r="AP209" i="1"/>
  <c r="AP208" i="1"/>
  <c r="AP206" i="1"/>
  <c r="AP204" i="1"/>
  <c r="AP203" i="1"/>
  <c r="AQ202" i="1"/>
  <c r="AP202" i="1"/>
  <c r="AQ201" i="1"/>
  <c r="AP195" i="1"/>
  <c r="AQ386" i="1"/>
  <c r="AP386" i="1"/>
  <c r="AP193" i="1"/>
  <c r="AQ360" i="1"/>
  <c r="AP360" i="1"/>
  <c r="AP191" i="1"/>
  <c r="AQ321" i="1"/>
  <c r="AP321" i="1"/>
  <c r="AP188" i="1"/>
  <c r="AQ369" i="1"/>
  <c r="AP369" i="1"/>
  <c r="AQ358" i="1"/>
  <c r="AP358" i="1"/>
  <c r="AP185" i="1"/>
  <c r="AP182" i="1"/>
  <c r="AQ180" i="1"/>
  <c r="AP180" i="1"/>
  <c r="AP179" i="1"/>
  <c r="AQ176" i="1"/>
  <c r="AP173" i="1"/>
  <c r="AP172" i="1"/>
  <c r="AQ171" i="1"/>
  <c r="AP171" i="1"/>
  <c r="AQ169" i="1"/>
  <c r="AP324" i="1"/>
  <c r="AP166" i="1"/>
  <c r="AQ391" i="1"/>
  <c r="AP391" i="1"/>
  <c r="AP163" i="1"/>
  <c r="AQ357" i="1"/>
  <c r="AP357" i="1"/>
  <c r="AQ304" i="1"/>
  <c r="AP304" i="1"/>
  <c r="AQ159" i="1"/>
  <c r="AP156" i="1"/>
  <c r="AP155" i="1"/>
  <c r="AP154" i="1"/>
  <c r="AP153" i="1"/>
  <c r="AQ314" i="1"/>
  <c r="AP314" i="1"/>
  <c r="AQ143" i="1"/>
  <c r="AP143" i="1"/>
  <c r="AQ139" i="1"/>
  <c r="AP139" i="1"/>
  <c r="AP368" i="1"/>
  <c r="AP136" i="1"/>
  <c r="AQ135" i="1"/>
  <c r="AP135" i="1"/>
  <c r="AQ132" i="1"/>
  <c r="AP132" i="1"/>
  <c r="AP131" i="1"/>
  <c r="AQ305" i="1"/>
  <c r="AP305" i="1"/>
  <c r="AP127" i="1"/>
  <c r="AQ309" i="1"/>
  <c r="AP309" i="1"/>
  <c r="AQ126" i="1"/>
  <c r="AP126" i="1"/>
  <c r="AP124" i="1"/>
  <c r="AP123" i="1"/>
  <c r="AQ320" i="1"/>
  <c r="AP320" i="1"/>
  <c r="AQ319" i="1"/>
  <c r="AQ121" i="1"/>
  <c r="AP121" i="1"/>
  <c r="AQ119" i="1"/>
  <c r="AP119" i="1"/>
  <c r="AQ117" i="1"/>
  <c r="AP117" i="1"/>
  <c r="AP116" i="1"/>
  <c r="AQ115" i="1"/>
  <c r="AP115" i="1"/>
  <c r="AQ114" i="1"/>
  <c r="AP114" i="1"/>
  <c r="AP110" i="1"/>
  <c r="AP109" i="1"/>
  <c r="AP108" i="1"/>
  <c r="AP335" i="1"/>
  <c r="AP104" i="1"/>
  <c r="AQ103" i="1"/>
  <c r="AP103" i="1"/>
  <c r="AQ102" i="1"/>
  <c r="AP102" i="1"/>
  <c r="AP100" i="1"/>
  <c r="AQ95" i="1"/>
  <c r="AP95" i="1"/>
  <c r="AQ94" i="1"/>
  <c r="AP94" i="1"/>
  <c r="AP92" i="1"/>
  <c r="AQ87" i="1"/>
  <c r="AP87" i="1"/>
  <c r="AP86" i="1"/>
  <c r="AQ85" i="1"/>
  <c r="AP85" i="1"/>
  <c r="AQ301" i="1"/>
  <c r="AP301" i="1"/>
  <c r="AQ307" i="1"/>
  <c r="AQ82" i="1"/>
  <c r="AP78" i="1"/>
  <c r="AQ299" i="1"/>
  <c r="AP299" i="1"/>
  <c r="AP76" i="1"/>
  <c r="AQ300" i="1"/>
  <c r="AP300" i="1"/>
  <c r="AP70" i="1"/>
  <c r="AP67" i="1"/>
  <c r="AQ303" i="1"/>
  <c r="AP303" i="1"/>
  <c r="AQ66" i="1"/>
  <c r="AP66" i="1"/>
  <c r="AP64" i="1"/>
  <c r="AP57" i="1"/>
  <c r="AQ56" i="1"/>
  <c r="AP56" i="1"/>
  <c r="AP55" i="1"/>
  <c r="AP54" i="1"/>
  <c r="AP51" i="1"/>
  <c r="AP50" i="1"/>
  <c r="AQ48" i="1"/>
  <c r="AP47" i="1"/>
  <c r="AP46" i="1"/>
  <c r="AP327" i="1"/>
  <c r="AQ39" i="1"/>
  <c r="AP39" i="1"/>
  <c r="AP37" i="1"/>
  <c r="AQ36" i="1"/>
  <c r="AP36" i="1"/>
  <c r="AP35" i="1"/>
  <c r="AP34" i="1"/>
  <c r="AQ354" i="1"/>
  <c r="AP354" i="1"/>
  <c r="AQ29" i="1"/>
  <c r="AP29" i="1"/>
  <c r="AQ26" i="1"/>
  <c r="AP26" i="1"/>
  <c r="AQ311" i="1"/>
  <c r="AP311" i="1"/>
  <c r="AQ25" i="1"/>
  <c r="AQ24" i="1"/>
  <c r="AP24" i="1"/>
  <c r="AP23" i="1"/>
  <c r="AP22" i="1"/>
  <c r="AQ16" i="1"/>
  <c r="AP14" i="1"/>
  <c r="AP12" i="1"/>
  <c r="AP11" i="1"/>
  <c r="AP10" i="1"/>
  <c r="AP9" i="1"/>
  <c r="AM199" i="1"/>
  <c r="AM321" i="1"/>
  <c r="AM174" i="1"/>
  <c r="AM170" i="1"/>
  <c r="AM156" i="1"/>
  <c r="AM368" i="1"/>
  <c r="AM134" i="1"/>
  <c r="AM132" i="1"/>
  <c r="AM115" i="1"/>
  <c r="AM332" i="1"/>
  <c r="AM86" i="1"/>
  <c r="AM81" i="1"/>
  <c r="AM338" i="1"/>
  <c r="AM39" i="1"/>
  <c r="AM14" i="1"/>
  <c r="G385" i="1" l="1"/>
  <c r="AM385" i="1"/>
  <c r="AL385" i="1"/>
  <c r="AG385" i="1"/>
  <c r="AK385" i="1" s="1"/>
  <c r="F385" i="1"/>
  <c r="AM200" i="1"/>
  <c r="AM176" i="1"/>
  <c r="AM166" i="1"/>
  <c r="AM88" i="1"/>
  <c r="AM84" i="1"/>
  <c r="AM51" i="1"/>
  <c r="AM48" i="1"/>
  <c r="AM46" i="1"/>
  <c r="AM34" i="1"/>
  <c r="AM25" i="1"/>
  <c r="AM24" i="1"/>
  <c r="AM15" i="1"/>
  <c r="AM12" i="1"/>
  <c r="AM9" i="1"/>
  <c r="G15" i="1"/>
  <c r="AL15" i="1"/>
  <c r="AG15" i="1"/>
  <c r="AK15" i="1" s="1"/>
  <c r="F15" i="1"/>
  <c r="AM208" i="1"/>
  <c r="AM206" i="1"/>
  <c r="AM191" i="1"/>
  <c r="AM341" i="1"/>
  <c r="AM182" i="1"/>
  <c r="AM179" i="1"/>
  <c r="AM154" i="1"/>
  <c r="AM141" i="1"/>
  <c r="AM92" i="1"/>
  <c r="AM89" i="1"/>
  <c r="AM66" i="1"/>
  <c r="AM45" i="1"/>
  <c r="AO385" i="1" l="1"/>
  <c r="AS385" i="1" s="1"/>
  <c r="AW385" i="1" s="1"/>
  <c r="BA385" i="1" s="1"/>
  <c r="BE385" i="1" s="1"/>
  <c r="H385" i="1"/>
  <c r="AO15" i="1"/>
  <c r="AS15" i="1" s="1"/>
  <c r="AW15" i="1" s="1"/>
  <c r="BA15" i="1" s="1"/>
  <c r="BE15" i="1" s="1"/>
  <c r="BT15" i="1" s="1"/>
  <c r="H15" i="1"/>
  <c r="G309" i="1"/>
  <c r="AM309" i="1"/>
  <c r="AL309" i="1"/>
  <c r="AG309" i="1"/>
  <c r="AK309" i="1" s="1"/>
  <c r="F309" i="1"/>
  <c r="G318" i="1"/>
  <c r="AM318" i="1"/>
  <c r="AL318" i="1"/>
  <c r="AG318" i="1"/>
  <c r="AK318" i="1" s="1"/>
  <c r="F318" i="1"/>
  <c r="G297" i="1"/>
  <c r="AM297" i="1"/>
  <c r="AL297" i="1"/>
  <c r="AG297" i="1"/>
  <c r="AK297" i="1" s="1"/>
  <c r="F297" i="1"/>
  <c r="G341" i="1"/>
  <c r="AL341" i="1"/>
  <c r="AG341" i="1"/>
  <c r="AK341" i="1" s="1"/>
  <c r="F341" i="1"/>
  <c r="G314" i="1"/>
  <c r="AM314" i="1"/>
  <c r="AL314" i="1"/>
  <c r="AG314" i="1"/>
  <c r="AK314" i="1" s="1"/>
  <c r="F314" i="1"/>
  <c r="H314" i="1" l="1"/>
  <c r="H318" i="1"/>
  <c r="AO309" i="1"/>
  <c r="AS309" i="1" s="1"/>
  <c r="AW309" i="1" s="1"/>
  <c r="AO297" i="1"/>
  <c r="H309" i="1"/>
  <c r="H297" i="1"/>
  <c r="AO318" i="1"/>
  <c r="AS318" i="1" s="1"/>
  <c r="AW318" i="1" s="1"/>
  <c r="AO341" i="1"/>
  <c r="AS341" i="1" s="1"/>
  <c r="AW341" i="1" s="1"/>
  <c r="BA341" i="1" s="1"/>
  <c r="H341" i="1"/>
  <c r="AO314" i="1"/>
  <c r="AS314" i="1" s="1"/>
  <c r="AW314" i="1" s="1"/>
  <c r="AM100" i="1"/>
  <c r="AL100" i="1"/>
  <c r="AG100" i="1"/>
  <c r="AK100" i="1" s="1"/>
  <c r="F100" i="1"/>
  <c r="AM204" i="1"/>
  <c r="AM193" i="1"/>
  <c r="AM186" i="1"/>
  <c r="AM293" i="1"/>
  <c r="AM169" i="1"/>
  <c r="AM159" i="1"/>
  <c r="AM151" i="1"/>
  <c r="AM143" i="1"/>
  <c r="AM139" i="1"/>
  <c r="AM127" i="1"/>
  <c r="AM123" i="1"/>
  <c r="AM319" i="1"/>
  <c r="AM117" i="1"/>
  <c r="AM116" i="1"/>
  <c r="AM335" i="1"/>
  <c r="AM103" i="1"/>
  <c r="AM87" i="1"/>
  <c r="AM77" i="1"/>
  <c r="AM299" i="1"/>
  <c r="AM76" i="1"/>
  <c r="AM75" i="1"/>
  <c r="AM300" i="1"/>
  <c r="AM67" i="1"/>
  <c r="AM303" i="1"/>
  <c r="AM57" i="1"/>
  <c r="AM55" i="1"/>
  <c r="AM37" i="1"/>
  <c r="AM23" i="1"/>
  <c r="AM19" i="1"/>
  <c r="AM17" i="1"/>
  <c r="AM16" i="1"/>
  <c r="AM10" i="1"/>
  <c r="AO100" i="1" l="1"/>
  <c r="AS100" i="1" s="1"/>
  <c r="AW100" i="1" s="1"/>
  <c r="BA100" i="1" s="1"/>
  <c r="BE100" i="1" s="1"/>
  <c r="BT100" i="1" s="1"/>
  <c r="H100" i="1"/>
  <c r="AM188" i="1"/>
  <c r="AM358" i="1"/>
  <c r="AM172" i="1"/>
  <c r="AM171" i="1"/>
  <c r="AM155" i="1"/>
  <c r="AM102" i="1"/>
  <c r="AM94" i="1"/>
  <c r="AL89" i="1"/>
  <c r="AM85" i="1"/>
  <c r="AM78" i="1"/>
  <c r="AM68" i="1"/>
  <c r="AM47" i="1"/>
  <c r="AM327" i="1"/>
  <c r="AL204" i="1" l="1"/>
  <c r="AL159" i="1"/>
  <c r="AL156" i="1"/>
  <c r="AL154" i="1"/>
  <c r="AL139" i="1"/>
  <c r="AL138" i="1"/>
  <c r="AL134" i="1"/>
  <c r="AL112" i="1"/>
  <c r="AL103" i="1"/>
  <c r="AL81" i="1"/>
  <c r="AL75" i="1"/>
  <c r="AL69" i="1"/>
  <c r="AL59" i="1"/>
  <c r="AL19" i="1"/>
  <c r="AL213" i="1" l="1"/>
  <c r="AL179" i="1"/>
  <c r="AL294" i="1"/>
  <c r="AL141" i="1"/>
  <c r="AL133" i="1"/>
  <c r="AL116" i="1"/>
  <c r="AL104" i="1"/>
  <c r="AL92" i="1"/>
  <c r="AL87" i="1"/>
  <c r="AL307" i="1"/>
  <c r="AL51" i="1"/>
  <c r="AL26" i="1"/>
  <c r="G86" i="1" l="1"/>
  <c r="AL86" i="1"/>
  <c r="AG86" i="1"/>
  <c r="AK86" i="1" s="1"/>
  <c r="F86" i="1"/>
  <c r="H86" i="1" l="1"/>
  <c r="AO86" i="1"/>
  <c r="AS86" i="1" s="1"/>
  <c r="AW86" i="1" s="1"/>
  <c r="BA86" i="1" s="1"/>
  <c r="BE86" i="1" s="1"/>
  <c r="BT86" i="1" s="1"/>
  <c r="AM111" i="1"/>
  <c r="AL111" i="1"/>
  <c r="AG111" i="1"/>
  <c r="AK111" i="1" s="1"/>
  <c r="AL68" i="1"/>
  <c r="AG68" i="1"/>
  <c r="AK68" i="1" s="1"/>
  <c r="AO111" i="1" l="1"/>
  <c r="AS111" i="1" s="1"/>
  <c r="AW111" i="1" s="1"/>
  <c r="BA111" i="1" s="1"/>
  <c r="BE111" i="1" s="1"/>
  <c r="BT111" i="1" s="1"/>
  <c r="AO68" i="1"/>
  <c r="AS68" i="1" s="1"/>
  <c r="AW68" i="1" s="1"/>
  <c r="BA68" i="1" s="1"/>
  <c r="BE68" i="1" s="1"/>
  <c r="BT68" i="1" s="1"/>
  <c r="G386" i="1"/>
  <c r="AM386" i="1"/>
  <c r="AL386" i="1"/>
  <c r="AG386" i="1"/>
  <c r="AK386" i="1" s="1"/>
  <c r="F386" i="1"/>
  <c r="G186" i="1"/>
  <c r="AL186" i="1"/>
  <c r="AG186" i="1"/>
  <c r="AK186" i="1" s="1"/>
  <c r="F186" i="1"/>
  <c r="G293" i="1"/>
  <c r="AL293" i="1"/>
  <c r="AG293" i="1"/>
  <c r="AK293" i="1" s="1"/>
  <c r="F293" i="1"/>
  <c r="G290" i="1"/>
  <c r="AM290" i="1"/>
  <c r="AL290" i="1"/>
  <c r="AG290" i="1"/>
  <c r="AK290" i="1" s="1"/>
  <c r="F290" i="1"/>
  <c r="AO186" i="1" l="1"/>
  <c r="AS186" i="1" s="1"/>
  <c r="AW186" i="1" s="1"/>
  <c r="BA186" i="1" s="1"/>
  <c r="BE186" i="1" s="1"/>
  <c r="BT186" i="1" s="1"/>
  <c r="AO293" i="1"/>
  <c r="AO290" i="1"/>
  <c r="AO386" i="1"/>
  <c r="AS386" i="1" s="1"/>
  <c r="AW386" i="1" s="1"/>
  <c r="BA386" i="1" s="1"/>
  <c r="BE386" i="1" s="1"/>
  <c r="H186" i="1"/>
  <c r="H386" i="1"/>
  <c r="H293" i="1"/>
  <c r="H290" i="1"/>
  <c r="AL289" i="1" l="1"/>
  <c r="AL45" i="1"/>
  <c r="G284" i="1"/>
  <c r="AM284" i="1"/>
  <c r="AL284" i="1"/>
  <c r="AG284" i="1"/>
  <c r="AK284" i="1" s="1"/>
  <c r="F284" i="1"/>
  <c r="G185" i="1"/>
  <c r="AM185" i="1"/>
  <c r="AL185" i="1"/>
  <c r="AG185" i="1"/>
  <c r="AK185" i="1" s="1"/>
  <c r="F185" i="1"/>
  <c r="G298" i="1"/>
  <c r="AM298" i="1"/>
  <c r="AL298" i="1"/>
  <c r="AG298" i="1"/>
  <c r="AK298" i="1" s="1"/>
  <c r="F298" i="1"/>
  <c r="G368" i="1"/>
  <c r="AL368" i="1"/>
  <c r="AG368" i="1"/>
  <c r="AK368" i="1" s="1"/>
  <c r="F368" i="1"/>
  <c r="G305" i="1"/>
  <c r="AM305" i="1"/>
  <c r="AL305" i="1"/>
  <c r="AG305" i="1"/>
  <c r="AK305" i="1" s="1"/>
  <c r="F305" i="1"/>
  <c r="AO185" i="1" l="1"/>
  <c r="AS185" i="1" s="1"/>
  <c r="AW185" i="1" s="1"/>
  <c r="BA185" i="1" s="1"/>
  <c r="BE185" i="1" s="1"/>
  <c r="BT185" i="1" s="1"/>
  <c r="H284" i="1"/>
  <c r="AO284" i="1"/>
  <c r="AO368" i="1"/>
  <c r="AS368" i="1" s="1"/>
  <c r="AW368" i="1" s="1"/>
  <c r="BA368" i="1" s="1"/>
  <c r="BE368" i="1" s="1"/>
  <c r="AO298" i="1"/>
  <c r="AO305" i="1"/>
  <c r="AS305" i="1" s="1"/>
  <c r="AW305" i="1" s="1"/>
  <c r="H185" i="1"/>
  <c r="H298" i="1"/>
  <c r="H368" i="1"/>
  <c r="H305" i="1"/>
  <c r="G287" i="1" l="1"/>
  <c r="AM287" i="1"/>
  <c r="AL287" i="1"/>
  <c r="AG287" i="1"/>
  <c r="AK287" i="1" s="1"/>
  <c r="F287" i="1"/>
  <c r="G84" i="1"/>
  <c r="AL84" i="1"/>
  <c r="AG84" i="1"/>
  <c r="AK84" i="1" s="1"/>
  <c r="F84" i="1"/>
  <c r="G68" i="1"/>
  <c r="F68" i="1"/>
  <c r="G62" i="1"/>
  <c r="AM62" i="1"/>
  <c r="AL62" i="1"/>
  <c r="AG62" i="1"/>
  <c r="AK62" i="1" s="1"/>
  <c r="F62" i="1"/>
  <c r="H84" i="1" l="1"/>
  <c r="AO84" i="1"/>
  <c r="AS84" i="1" s="1"/>
  <c r="AW84" i="1" s="1"/>
  <c r="BA84" i="1" s="1"/>
  <c r="BE84" i="1" s="1"/>
  <c r="BT84" i="1" s="1"/>
  <c r="AO287" i="1"/>
  <c r="H287" i="1"/>
  <c r="AO62" i="1"/>
  <c r="AS62" i="1" s="1"/>
  <c r="AW62" i="1" s="1"/>
  <c r="BA62" i="1" s="1"/>
  <c r="BE62" i="1" s="1"/>
  <c r="BT62" i="1" s="1"/>
  <c r="H68" i="1"/>
  <c r="H62" i="1"/>
  <c r="G283" i="1" l="1"/>
  <c r="AM283" i="1"/>
  <c r="AL283" i="1"/>
  <c r="AG283" i="1"/>
  <c r="AK283" i="1" s="1"/>
  <c r="F283" i="1"/>
  <c r="G295" i="1"/>
  <c r="AM295" i="1"/>
  <c r="AL295" i="1"/>
  <c r="AG295" i="1"/>
  <c r="AK295" i="1" s="1"/>
  <c r="F295" i="1"/>
  <c r="G90" i="1"/>
  <c r="AM90" i="1"/>
  <c r="AL90" i="1"/>
  <c r="AG90" i="1"/>
  <c r="AK90" i="1" s="1"/>
  <c r="F90" i="1"/>
  <c r="G78" i="1"/>
  <c r="AL78" i="1"/>
  <c r="AG78" i="1"/>
  <c r="AK78" i="1" s="1"/>
  <c r="F78" i="1"/>
  <c r="AO283" i="1" l="1"/>
  <c r="AO295" i="1"/>
  <c r="H283" i="1"/>
  <c r="AO90" i="1"/>
  <c r="AS90" i="1" s="1"/>
  <c r="AW90" i="1" s="1"/>
  <c r="BA90" i="1" s="1"/>
  <c r="BE90" i="1" s="1"/>
  <c r="BT90" i="1" s="1"/>
  <c r="H295" i="1"/>
  <c r="AO78" i="1"/>
  <c r="AS78" i="1" s="1"/>
  <c r="AW78" i="1" s="1"/>
  <c r="BA78" i="1" s="1"/>
  <c r="BE78" i="1" s="1"/>
  <c r="BT78" i="1" s="1"/>
  <c r="H78" i="1"/>
  <c r="H90" i="1"/>
  <c r="G13" i="1"/>
  <c r="AM13" i="1"/>
  <c r="AL13" i="1"/>
  <c r="AG13" i="1"/>
  <c r="AK13" i="1" s="1"/>
  <c r="F13" i="1"/>
  <c r="G292" i="1"/>
  <c r="AM292" i="1"/>
  <c r="AL292" i="1"/>
  <c r="AG292" i="1"/>
  <c r="AK292" i="1" s="1"/>
  <c r="F292" i="1"/>
  <c r="G288" i="1"/>
  <c r="AM288" i="1"/>
  <c r="AL288" i="1"/>
  <c r="AG288" i="1"/>
  <c r="AK288" i="1" s="1"/>
  <c r="F288" i="1"/>
  <c r="G111" i="1"/>
  <c r="F111" i="1"/>
  <c r="AO13" i="1" l="1"/>
  <c r="AS13" i="1" s="1"/>
  <c r="AW13" i="1" s="1"/>
  <c r="BA13" i="1" s="1"/>
  <c r="BE13" i="1" s="1"/>
  <c r="BT13" i="1" s="1"/>
  <c r="AO288" i="1"/>
  <c r="H292" i="1"/>
  <c r="H288" i="1"/>
  <c r="AO292" i="1"/>
  <c r="H13" i="1"/>
  <c r="H111" i="1"/>
  <c r="G286" i="1"/>
  <c r="AM286" i="1"/>
  <c r="AL286" i="1"/>
  <c r="AG286" i="1"/>
  <c r="AK286" i="1" s="1"/>
  <c r="F286" i="1"/>
  <c r="G22" i="1"/>
  <c r="AM22" i="1"/>
  <c r="AL22" i="1"/>
  <c r="AG22" i="1"/>
  <c r="AK22" i="1" s="1"/>
  <c r="F22" i="1"/>
  <c r="G12" i="1"/>
  <c r="AL12" i="1"/>
  <c r="AH12" i="1"/>
  <c r="AI12" i="1"/>
  <c r="AG12" i="1"/>
  <c r="F12" i="1"/>
  <c r="AO286" i="1" l="1"/>
  <c r="AO22" i="1"/>
  <c r="AS22" i="1" s="1"/>
  <c r="AW22" i="1" s="1"/>
  <c r="BA22" i="1" s="1"/>
  <c r="BE22" i="1" s="1"/>
  <c r="BT22" i="1" s="1"/>
  <c r="H286" i="1"/>
  <c r="H22" i="1"/>
  <c r="AK12" i="1"/>
  <c r="AO12" i="1" s="1"/>
  <c r="AS12" i="1" s="1"/>
  <c r="AW12" i="1" s="1"/>
  <c r="BA12" i="1" s="1"/>
  <c r="BE12" i="1" s="1"/>
  <c r="BT12" i="1" s="1"/>
  <c r="H12" i="1"/>
  <c r="AM59" i="1" l="1"/>
  <c r="AM213" i="1"/>
  <c r="AM211" i="1"/>
  <c r="AL211" i="1"/>
  <c r="AM209" i="1"/>
  <c r="AL209" i="1"/>
  <c r="AL208" i="1"/>
  <c r="AL206" i="1"/>
  <c r="AM203" i="1"/>
  <c r="AL203" i="1"/>
  <c r="AM202" i="1"/>
  <c r="AL202" i="1"/>
  <c r="AM201" i="1"/>
  <c r="AL201" i="1"/>
  <c r="AL200" i="1"/>
  <c r="AL199" i="1"/>
  <c r="AM195" i="1"/>
  <c r="AL195" i="1"/>
  <c r="AL193" i="1"/>
  <c r="AM360" i="1"/>
  <c r="AL360" i="1"/>
  <c r="AL191" i="1"/>
  <c r="AL321" i="1"/>
  <c r="AL188" i="1"/>
  <c r="AM369" i="1"/>
  <c r="AL369" i="1"/>
  <c r="AL358" i="1"/>
  <c r="AM282" i="1"/>
  <c r="AL282" i="1"/>
  <c r="AL182" i="1"/>
  <c r="AM181" i="1"/>
  <c r="AL181" i="1"/>
  <c r="AM180" i="1"/>
  <c r="AL180" i="1"/>
  <c r="AL176" i="1"/>
  <c r="AL174" i="1"/>
  <c r="AM296" i="1"/>
  <c r="AL296" i="1"/>
  <c r="AM173" i="1"/>
  <c r="AL173" i="1"/>
  <c r="AL172" i="1"/>
  <c r="AL171" i="1"/>
  <c r="AL170" i="1"/>
  <c r="AL169" i="1"/>
  <c r="AM324" i="1"/>
  <c r="AL324" i="1"/>
  <c r="AM281" i="1"/>
  <c r="AL281" i="1"/>
  <c r="AL166" i="1"/>
  <c r="AM391" i="1"/>
  <c r="AL391" i="1"/>
  <c r="AM294" i="1"/>
  <c r="AM163" i="1"/>
  <c r="AL163" i="1"/>
  <c r="AM357" i="1"/>
  <c r="AL357" i="1"/>
  <c r="AM304" i="1"/>
  <c r="AL304" i="1"/>
  <c r="AM161" i="1"/>
  <c r="AL161" i="1"/>
  <c r="AL155" i="1"/>
  <c r="AM153" i="1"/>
  <c r="AL153" i="1"/>
  <c r="AL151" i="1"/>
  <c r="AL143" i="1"/>
  <c r="AL142" i="1"/>
  <c r="AM138" i="1"/>
  <c r="AM137" i="1"/>
  <c r="AL137" i="1"/>
  <c r="AM136" i="1"/>
  <c r="AL136" i="1"/>
  <c r="AM135" i="1"/>
  <c r="AL135" i="1"/>
  <c r="AM289" i="1"/>
  <c r="AM133" i="1"/>
  <c r="AL132" i="1"/>
  <c r="AM131" i="1"/>
  <c r="AL131" i="1"/>
  <c r="AM280" i="1"/>
  <c r="AL280" i="1"/>
  <c r="AL127" i="1"/>
  <c r="AM126" i="1"/>
  <c r="AL126" i="1"/>
  <c r="AM124" i="1"/>
  <c r="AL124" i="1"/>
  <c r="AL123" i="1"/>
  <c r="AM320" i="1"/>
  <c r="AL320" i="1"/>
  <c r="AL319" i="1"/>
  <c r="AM121" i="1"/>
  <c r="AL121" i="1"/>
  <c r="AM119" i="1"/>
  <c r="AL119" i="1"/>
  <c r="AL117" i="1"/>
  <c r="AL115" i="1"/>
  <c r="AM114" i="1"/>
  <c r="AL114" i="1"/>
  <c r="AM112" i="1"/>
  <c r="AM110" i="1"/>
  <c r="AL110" i="1"/>
  <c r="AM109" i="1"/>
  <c r="AL109" i="1"/>
  <c r="AM108" i="1"/>
  <c r="AL108" i="1"/>
  <c r="AM106" i="1"/>
  <c r="AL106" i="1"/>
  <c r="AM291" i="1"/>
  <c r="AL291" i="1"/>
  <c r="AL335" i="1"/>
  <c r="AM104" i="1"/>
  <c r="AL102" i="1"/>
  <c r="AM101" i="1"/>
  <c r="AL101" i="1"/>
  <c r="AL332" i="1"/>
  <c r="AM96" i="1"/>
  <c r="AL96" i="1"/>
  <c r="AM95" i="1"/>
  <c r="AL95" i="1"/>
  <c r="AL94" i="1"/>
  <c r="AM91" i="1"/>
  <c r="AL91" i="1"/>
  <c r="AM279" i="1"/>
  <c r="AL279" i="1"/>
  <c r="AL88" i="1"/>
  <c r="AL85" i="1"/>
  <c r="AM301" i="1"/>
  <c r="AL301" i="1"/>
  <c r="AM307" i="1"/>
  <c r="AM82" i="1"/>
  <c r="AL82" i="1"/>
  <c r="AM80" i="1"/>
  <c r="AL80" i="1"/>
  <c r="AL77" i="1"/>
  <c r="AL299" i="1"/>
  <c r="AL76" i="1"/>
  <c r="AL300" i="1"/>
  <c r="AM70" i="1"/>
  <c r="AL70" i="1"/>
  <c r="AM69" i="1"/>
  <c r="AL67" i="1"/>
  <c r="AL303" i="1"/>
  <c r="AL66" i="1"/>
  <c r="AM64" i="1"/>
  <c r="AL64" i="1"/>
  <c r="AL57" i="1"/>
  <c r="AM56" i="1"/>
  <c r="AL56" i="1"/>
  <c r="AM285" i="1"/>
  <c r="AL285" i="1"/>
  <c r="AL55" i="1"/>
  <c r="AM54" i="1"/>
  <c r="AL54" i="1"/>
  <c r="AM50" i="1"/>
  <c r="AL50" i="1"/>
  <c r="AL48" i="1"/>
  <c r="AL47" i="1"/>
  <c r="AL46" i="1"/>
  <c r="AL338" i="1"/>
  <c r="AL327" i="1"/>
  <c r="AM43" i="1"/>
  <c r="AL43" i="1"/>
  <c r="AL39" i="1"/>
  <c r="AL37" i="1"/>
  <c r="AM36" i="1"/>
  <c r="AL36" i="1"/>
  <c r="AM35" i="1"/>
  <c r="AL35" i="1"/>
  <c r="AL34" i="1"/>
  <c r="AM354" i="1"/>
  <c r="AL354" i="1"/>
  <c r="AM29" i="1"/>
  <c r="AL29" i="1"/>
  <c r="AM26" i="1"/>
  <c r="AM311" i="1"/>
  <c r="AL311" i="1"/>
  <c r="AL25" i="1"/>
  <c r="AL24" i="1"/>
  <c r="AM278" i="1"/>
  <c r="AL278" i="1"/>
  <c r="AL23" i="1"/>
  <c r="AM315" i="1"/>
  <c r="AL315" i="1"/>
  <c r="AL17" i="1"/>
  <c r="AL16" i="1"/>
  <c r="AL14" i="1"/>
  <c r="AM11" i="1"/>
  <c r="AL11" i="1"/>
  <c r="AL10" i="1"/>
  <c r="AL9" i="1"/>
  <c r="AI208" i="1" l="1"/>
  <c r="AI92" i="1"/>
  <c r="AI59" i="1"/>
  <c r="AI213" i="1"/>
  <c r="AI211" i="1"/>
  <c r="AI206" i="1"/>
  <c r="AI204" i="1"/>
  <c r="AI203" i="1"/>
  <c r="AI201" i="1"/>
  <c r="AI200" i="1"/>
  <c r="AI199" i="1"/>
  <c r="AI195" i="1"/>
  <c r="AI193" i="1"/>
  <c r="AI191" i="1"/>
  <c r="AI188" i="1"/>
  <c r="AI369" i="1"/>
  <c r="AI358" i="1"/>
  <c r="F294" i="1" l="1"/>
  <c r="G294" i="1"/>
  <c r="AI294" i="1"/>
  <c r="AG294" i="1"/>
  <c r="AI282" i="1"/>
  <c r="AI182" i="1"/>
  <c r="AI181" i="1"/>
  <c r="AI180" i="1"/>
  <c r="AI179" i="1"/>
  <c r="AI176" i="1"/>
  <c r="AI174" i="1"/>
  <c r="AI173" i="1"/>
  <c r="AI172" i="1"/>
  <c r="AI171" i="1"/>
  <c r="AI170" i="1"/>
  <c r="AI169" i="1"/>
  <c r="AI324" i="1"/>
  <c r="AI281" i="1"/>
  <c r="AI166" i="1"/>
  <c r="AI391" i="1"/>
  <c r="AI163" i="1"/>
  <c r="AI357" i="1"/>
  <c r="AI304" i="1"/>
  <c r="AI161" i="1"/>
  <c r="AI159" i="1"/>
  <c r="AI156" i="1"/>
  <c r="AI155" i="1"/>
  <c r="AI154" i="1"/>
  <c r="AI153" i="1"/>
  <c r="AI151" i="1"/>
  <c r="AI142" i="1"/>
  <c r="AI141" i="1"/>
  <c r="AI139" i="1"/>
  <c r="AI138" i="1"/>
  <c r="AI137" i="1"/>
  <c r="AI136" i="1"/>
  <c r="AI289" i="1"/>
  <c r="AI134" i="1"/>
  <c r="AI133" i="1"/>
  <c r="AI132" i="1"/>
  <c r="AI127" i="1"/>
  <c r="AI126" i="1"/>
  <c r="AI124" i="1"/>
  <c r="AI123" i="1"/>
  <c r="AI320" i="1"/>
  <c r="AI319" i="1"/>
  <c r="AI121" i="1"/>
  <c r="AI117" i="1"/>
  <c r="AI116" i="1"/>
  <c r="AI115" i="1"/>
  <c r="AI112" i="1"/>
  <c r="AI110" i="1"/>
  <c r="AI109" i="1"/>
  <c r="AI108" i="1"/>
  <c r="AI335" i="1"/>
  <c r="AI104" i="1"/>
  <c r="AI103" i="1"/>
  <c r="AI102" i="1"/>
  <c r="AI101" i="1"/>
  <c r="AI332" i="1"/>
  <c r="AI94" i="1"/>
  <c r="AI96" i="1"/>
  <c r="AI91" i="1"/>
  <c r="AI279" i="1"/>
  <c r="AI88" i="1"/>
  <c r="AI87" i="1"/>
  <c r="AI85" i="1"/>
  <c r="AI301" i="1"/>
  <c r="AI307" i="1"/>
  <c r="AI82" i="1"/>
  <c r="AI81" i="1"/>
  <c r="AI80" i="1"/>
  <c r="AI77" i="1"/>
  <c r="AI76" i="1"/>
  <c r="AI75" i="1"/>
  <c r="AI300" i="1"/>
  <c r="AI70" i="1"/>
  <c r="AI69" i="1"/>
  <c r="AI67" i="1"/>
  <c r="AI303" i="1"/>
  <c r="AI66" i="1"/>
  <c r="AI64" i="1"/>
  <c r="AI57" i="1"/>
  <c r="AI285" i="1"/>
  <c r="AI55" i="1"/>
  <c r="AI54" i="1"/>
  <c r="AI51" i="1"/>
  <c r="AI50" i="1"/>
  <c r="AI48" i="1"/>
  <c r="AI47" i="1"/>
  <c r="AI46" i="1"/>
  <c r="AI327" i="1"/>
  <c r="AI43" i="1"/>
  <c r="AI39" i="1"/>
  <c r="AI37" i="1"/>
  <c r="AI36" i="1"/>
  <c r="AI35" i="1"/>
  <c r="AI34" i="1"/>
  <c r="AI354" i="1"/>
  <c r="AI26" i="1"/>
  <c r="AI311" i="1"/>
  <c r="AI25" i="1"/>
  <c r="AI24" i="1"/>
  <c r="AI278" i="1"/>
  <c r="AI23" i="1"/>
  <c r="AI19" i="1"/>
  <c r="AI17" i="1"/>
  <c r="AI16" i="1"/>
  <c r="AI14" i="1"/>
  <c r="AI9" i="1"/>
  <c r="AI11" i="1"/>
  <c r="AI10" i="1"/>
  <c r="AK294" i="1" l="1"/>
  <c r="AO294" i="1" s="1"/>
  <c r="H294" i="1"/>
  <c r="AI56" i="1" l="1"/>
  <c r="G64" i="1"/>
  <c r="AG64" i="1"/>
  <c r="F64" i="1"/>
  <c r="AK64" i="1" l="1"/>
  <c r="AO64" i="1" s="1"/>
  <c r="AS64" i="1" s="1"/>
  <c r="AW64" i="1" s="1"/>
  <c r="BA64" i="1" s="1"/>
  <c r="BE64" i="1" s="1"/>
  <c r="BT64" i="1" s="1"/>
  <c r="H64" i="1"/>
  <c r="G291" i="1" l="1"/>
  <c r="AI291" i="1"/>
  <c r="AG291" i="1"/>
  <c r="F291" i="1"/>
  <c r="AK291" i="1" l="1"/>
  <c r="AO291" i="1" s="1"/>
  <c r="H291" i="1"/>
  <c r="AI143" i="1"/>
  <c r="AG91" i="1" l="1"/>
  <c r="AK91" i="1" s="1"/>
  <c r="AO91" i="1" s="1"/>
  <c r="AS91" i="1" s="1"/>
  <c r="AW91" i="1" s="1"/>
  <c r="BA91" i="1" s="1"/>
  <c r="BE91" i="1" s="1"/>
  <c r="BT91" i="1" s="1"/>
  <c r="F91" i="1"/>
  <c r="H91" i="1" l="1"/>
  <c r="G89" i="1" l="1"/>
  <c r="AI89" i="1"/>
  <c r="AG89" i="1"/>
  <c r="F89" i="1"/>
  <c r="AK89" i="1" l="1"/>
  <c r="AO89" i="1" s="1"/>
  <c r="AS89" i="1" s="1"/>
  <c r="AW89" i="1" s="1"/>
  <c r="BA89" i="1" s="1"/>
  <c r="BE89" i="1" s="1"/>
  <c r="BT89" i="1" s="1"/>
  <c r="H89" i="1"/>
  <c r="AI202" i="1" l="1"/>
  <c r="G299" i="1" l="1"/>
  <c r="AI299" i="1"/>
  <c r="AG299" i="1"/>
  <c r="F299" i="1"/>
  <c r="G338" i="1"/>
  <c r="AI338" i="1"/>
  <c r="AG338" i="1"/>
  <c r="F338" i="1"/>
  <c r="AK338" i="1" l="1"/>
  <c r="AO338" i="1" s="1"/>
  <c r="AS338" i="1" s="1"/>
  <c r="AW338" i="1" s="1"/>
  <c r="BA338" i="1" s="1"/>
  <c r="H338" i="1"/>
  <c r="AK299" i="1"/>
  <c r="AO299" i="1" s="1"/>
  <c r="AS299" i="1" s="1"/>
  <c r="AW299" i="1" s="1"/>
  <c r="H299" i="1"/>
  <c r="G282" i="1" l="1"/>
  <c r="AG282" i="1"/>
  <c r="F282" i="1"/>
  <c r="H282" i="1" l="1"/>
  <c r="AK282" i="1"/>
  <c r="AO282" i="1" s="1"/>
  <c r="AI95" i="1" l="1"/>
  <c r="AI45" i="1"/>
  <c r="AI29" i="1" l="1"/>
  <c r="G332" i="1" l="1"/>
  <c r="AG332" i="1"/>
  <c r="AK332" i="1" s="1"/>
  <c r="AO332" i="1" s="1"/>
  <c r="AS332" i="1" s="1"/>
  <c r="AW332" i="1" s="1"/>
  <c r="BA332" i="1" s="1"/>
  <c r="F332" i="1"/>
  <c r="H332" i="1" l="1"/>
  <c r="AH289" i="1" l="1"/>
  <c r="AI321" i="1" l="1"/>
  <c r="AI275" i="1"/>
  <c r="AI209" i="1" l="1"/>
  <c r="AI360" i="1"/>
  <c r="AI296" i="1"/>
  <c r="AI276" i="1"/>
  <c r="AI135" i="1"/>
  <c r="AI131" i="1"/>
  <c r="AI280" i="1"/>
  <c r="AI277" i="1"/>
  <c r="AI119" i="1"/>
  <c r="AI114" i="1"/>
  <c r="AI106" i="1"/>
  <c r="AI315" i="1"/>
  <c r="AH9" i="1" l="1"/>
  <c r="AH134" i="1" l="1"/>
  <c r="AG124" i="1" l="1"/>
  <c r="AK124" i="1" s="1"/>
  <c r="AO124" i="1" s="1"/>
  <c r="AS124" i="1" s="1"/>
  <c r="AW124" i="1" s="1"/>
  <c r="BA124" i="1" s="1"/>
  <c r="BE124" i="1" s="1"/>
  <c r="BT124" i="1" s="1"/>
  <c r="G124" i="1"/>
  <c r="F124" i="1"/>
  <c r="H124" i="1" l="1"/>
  <c r="AG285" i="1"/>
  <c r="AK285" i="1" s="1"/>
  <c r="AO285" i="1" s="1"/>
  <c r="G285" i="1"/>
  <c r="F285" i="1"/>
  <c r="H285" i="1" l="1"/>
  <c r="AH188" i="1"/>
  <c r="AH180" i="1"/>
  <c r="AH281" i="1"/>
  <c r="AH127" i="1"/>
  <c r="AH77" i="1"/>
  <c r="G273" i="1" l="1"/>
  <c r="AG273" i="1"/>
  <c r="AK273" i="1" s="1"/>
  <c r="F273" i="1"/>
  <c r="H273" i="1" l="1"/>
  <c r="G208" i="1"/>
  <c r="AG208" i="1"/>
  <c r="AK208" i="1" s="1"/>
  <c r="AO208" i="1" s="1"/>
  <c r="AS208" i="1" s="1"/>
  <c r="AW208" i="1" s="1"/>
  <c r="BA208" i="1" s="1"/>
  <c r="BE208" i="1" s="1"/>
  <c r="BT208" i="1" s="1"/>
  <c r="F208" i="1"/>
  <c r="H208" i="1" l="1"/>
  <c r="G391" i="1" l="1"/>
  <c r="AG391" i="1"/>
  <c r="AK391" i="1" s="1"/>
  <c r="AO391" i="1" s="1"/>
  <c r="AS391" i="1" s="1"/>
  <c r="AW391" i="1" s="1"/>
  <c r="BA391" i="1" s="1"/>
  <c r="BE391" i="1" s="1"/>
  <c r="F391" i="1"/>
  <c r="AG315" i="1"/>
  <c r="AK315" i="1" s="1"/>
  <c r="AO315" i="1" s="1"/>
  <c r="AS315" i="1" s="1"/>
  <c r="AW315" i="1" s="1"/>
  <c r="H391" i="1" l="1"/>
  <c r="AH300" i="1" l="1"/>
  <c r="G137" i="1" l="1"/>
  <c r="AG137" i="1"/>
  <c r="AK137" i="1" s="1"/>
  <c r="AO137" i="1" s="1"/>
  <c r="AS137" i="1" s="1"/>
  <c r="AW137" i="1" s="1"/>
  <c r="BA137" i="1" s="1"/>
  <c r="BE137" i="1" s="1"/>
  <c r="BT137" i="1" s="1"/>
  <c r="F137" i="1"/>
  <c r="H137" i="1" l="1"/>
  <c r="G311" i="1"/>
  <c r="AG311" i="1"/>
  <c r="AK311" i="1" s="1"/>
  <c r="AO311" i="1" s="1"/>
  <c r="AS311" i="1" s="1"/>
  <c r="AW311" i="1" s="1"/>
  <c r="F311" i="1"/>
  <c r="H311" i="1" l="1"/>
  <c r="F151" i="1"/>
  <c r="AH360" i="1" l="1"/>
  <c r="AH191" i="1"/>
  <c r="AH358" i="1"/>
  <c r="AH169" i="1"/>
  <c r="AH161" i="1"/>
  <c r="AH156" i="1"/>
  <c r="AH138" i="1"/>
  <c r="AH96" i="1"/>
  <c r="AH54" i="1"/>
  <c r="AH51" i="1"/>
  <c r="AH26" i="1"/>
  <c r="AG296" i="1" l="1"/>
  <c r="AK296" i="1" s="1"/>
  <c r="AO296" i="1" s="1"/>
  <c r="G296" i="1"/>
  <c r="F296" i="1"/>
  <c r="AG154" i="1"/>
  <c r="AK154" i="1" s="1"/>
  <c r="AO154" i="1" s="1"/>
  <c r="AS154" i="1" s="1"/>
  <c r="AW154" i="1" s="1"/>
  <c r="BA154" i="1" s="1"/>
  <c r="BE154" i="1" s="1"/>
  <c r="BT154" i="1" s="1"/>
  <c r="G154" i="1"/>
  <c r="F154" i="1"/>
  <c r="AG268" i="1"/>
  <c r="AK268" i="1" s="1"/>
  <c r="G268" i="1"/>
  <c r="F268" i="1"/>
  <c r="AG43" i="1"/>
  <c r="AK43" i="1" s="1"/>
  <c r="AO43" i="1" s="1"/>
  <c r="AS43" i="1" s="1"/>
  <c r="AW43" i="1" s="1"/>
  <c r="BA43" i="1" s="1"/>
  <c r="BE43" i="1" s="1"/>
  <c r="BT43" i="1" s="1"/>
  <c r="G43" i="1"/>
  <c r="F43" i="1"/>
  <c r="H43" i="1" l="1"/>
  <c r="H154" i="1"/>
  <c r="H268" i="1"/>
  <c r="H296" i="1"/>
  <c r="AG155" i="1"/>
  <c r="AK155" i="1" s="1"/>
  <c r="AO155" i="1" s="1"/>
  <c r="AS155" i="1" s="1"/>
  <c r="AW155" i="1" s="1"/>
  <c r="BA155" i="1" s="1"/>
  <c r="BE155" i="1" s="1"/>
  <c r="BT155" i="1" s="1"/>
  <c r="G155" i="1"/>
  <c r="F155" i="1"/>
  <c r="H155" i="1" l="1"/>
  <c r="AG209" i="1" l="1"/>
  <c r="AK209" i="1" s="1"/>
  <c r="AO209" i="1" s="1"/>
  <c r="AS209" i="1" s="1"/>
  <c r="AW209" i="1" s="1"/>
  <c r="BA209" i="1" s="1"/>
  <c r="BE209" i="1" s="1"/>
  <c r="BT209" i="1" s="1"/>
  <c r="G209" i="1"/>
  <c r="F209" i="1"/>
  <c r="AG191" i="1"/>
  <c r="AK191" i="1" s="1"/>
  <c r="AO191" i="1" s="1"/>
  <c r="AS191" i="1" s="1"/>
  <c r="AW191" i="1" s="1"/>
  <c r="BA191" i="1" s="1"/>
  <c r="BE191" i="1" s="1"/>
  <c r="BT191" i="1" s="1"/>
  <c r="G191" i="1"/>
  <c r="F191" i="1"/>
  <c r="G179" i="1"/>
  <c r="AG179" i="1"/>
  <c r="AK179" i="1" s="1"/>
  <c r="AO179" i="1" s="1"/>
  <c r="AS179" i="1" s="1"/>
  <c r="AW179" i="1" s="1"/>
  <c r="BA179" i="1" s="1"/>
  <c r="BE179" i="1" s="1"/>
  <c r="BT179" i="1" s="1"/>
  <c r="F179" i="1"/>
  <c r="AG170" i="1"/>
  <c r="AK170" i="1" s="1"/>
  <c r="AO170" i="1" s="1"/>
  <c r="AS170" i="1" s="1"/>
  <c r="AW170" i="1" s="1"/>
  <c r="BA170" i="1" s="1"/>
  <c r="BE170" i="1" s="1"/>
  <c r="BT170" i="1" s="1"/>
  <c r="G170" i="1"/>
  <c r="F170" i="1"/>
  <c r="AG156" i="1"/>
  <c r="AK156" i="1" s="1"/>
  <c r="AO156" i="1" s="1"/>
  <c r="AS156" i="1" s="1"/>
  <c r="AW156" i="1" s="1"/>
  <c r="BA156" i="1" s="1"/>
  <c r="BE156" i="1" s="1"/>
  <c r="BT156" i="1" s="1"/>
  <c r="G156" i="1"/>
  <c r="F156" i="1"/>
  <c r="G134" i="1"/>
  <c r="AG134" i="1"/>
  <c r="AK134" i="1" s="1"/>
  <c r="AO134" i="1" s="1"/>
  <c r="AS134" i="1" s="1"/>
  <c r="AW134" i="1" s="1"/>
  <c r="BA134" i="1" s="1"/>
  <c r="BE134" i="1" s="1"/>
  <c r="BT134" i="1" s="1"/>
  <c r="F134" i="1"/>
  <c r="H179" i="1" l="1"/>
  <c r="H156" i="1"/>
  <c r="H170" i="1"/>
  <c r="H209" i="1"/>
  <c r="H134" i="1"/>
  <c r="H191" i="1"/>
  <c r="AG103" i="1"/>
  <c r="AK103" i="1" s="1"/>
  <c r="AO103" i="1" s="1"/>
  <c r="AS103" i="1" s="1"/>
  <c r="AW103" i="1" s="1"/>
  <c r="BA103" i="1" s="1"/>
  <c r="BE103" i="1" s="1"/>
  <c r="BT103" i="1" s="1"/>
  <c r="G103" i="1"/>
  <c r="F103" i="1"/>
  <c r="G82" i="1"/>
  <c r="AG82" i="1"/>
  <c r="AK82" i="1" s="1"/>
  <c r="AO82" i="1" s="1"/>
  <c r="AS82" i="1" s="1"/>
  <c r="AW82" i="1" s="1"/>
  <c r="BA82" i="1" s="1"/>
  <c r="BE82" i="1" s="1"/>
  <c r="BT82" i="1" s="1"/>
  <c r="F82" i="1"/>
  <c r="F81" i="1"/>
  <c r="G81" i="1"/>
  <c r="AG81" i="1"/>
  <c r="AK81" i="1" s="1"/>
  <c r="AO81" i="1" s="1"/>
  <c r="AS81" i="1" s="1"/>
  <c r="AW81" i="1" s="1"/>
  <c r="BA81" i="1" s="1"/>
  <c r="BE81" i="1" s="1"/>
  <c r="BT81" i="1" s="1"/>
  <c r="AG327" i="1"/>
  <c r="AK327" i="1" s="1"/>
  <c r="AO327" i="1" s="1"/>
  <c r="AS327" i="1" s="1"/>
  <c r="AW327" i="1" s="1"/>
  <c r="F327" i="1"/>
  <c r="G327" i="1"/>
  <c r="AG278" i="1"/>
  <c r="AK278" i="1" s="1"/>
  <c r="AO278" i="1" s="1"/>
  <c r="F278" i="1"/>
  <c r="G278" i="1"/>
  <c r="AG263" i="1"/>
  <c r="G263" i="1"/>
  <c r="F263" i="1"/>
  <c r="H81" i="1" l="1"/>
  <c r="H103" i="1"/>
  <c r="H82" i="1"/>
  <c r="H327" i="1"/>
  <c r="H278" i="1"/>
  <c r="H263" i="1"/>
  <c r="AG59" i="1"/>
  <c r="AK59" i="1" s="1"/>
  <c r="AO59" i="1" s="1"/>
  <c r="AS59" i="1" s="1"/>
  <c r="AW59" i="1" s="1"/>
  <c r="BA59" i="1" s="1"/>
  <c r="BE59" i="1" s="1"/>
  <c r="BT59" i="1" s="1"/>
  <c r="AG213" i="1"/>
  <c r="AK213" i="1" s="1"/>
  <c r="AO213" i="1" s="1"/>
  <c r="AS213" i="1" s="1"/>
  <c r="AW213" i="1" s="1"/>
  <c r="BA213" i="1" s="1"/>
  <c r="BE213" i="1" s="1"/>
  <c r="BT213" i="1" s="1"/>
  <c r="AG211" i="1"/>
  <c r="AK211" i="1" s="1"/>
  <c r="AO211" i="1" s="1"/>
  <c r="AS211" i="1" s="1"/>
  <c r="AW211" i="1" s="1"/>
  <c r="BA211" i="1" s="1"/>
  <c r="BE211" i="1" s="1"/>
  <c r="BT211" i="1" s="1"/>
  <c r="AG265" i="1"/>
  <c r="AG206" i="1"/>
  <c r="AK206" i="1" s="1"/>
  <c r="AO206" i="1" s="1"/>
  <c r="AS206" i="1" s="1"/>
  <c r="AW206" i="1" s="1"/>
  <c r="BA206" i="1" s="1"/>
  <c r="BE206" i="1" s="1"/>
  <c r="BT206" i="1" s="1"/>
  <c r="AG204" i="1"/>
  <c r="AK204" i="1" s="1"/>
  <c r="AO204" i="1" s="1"/>
  <c r="AS204" i="1" s="1"/>
  <c r="AW204" i="1" s="1"/>
  <c r="BA204" i="1" s="1"/>
  <c r="BE204" i="1" s="1"/>
  <c r="BT204" i="1" s="1"/>
  <c r="AG203" i="1"/>
  <c r="AK203" i="1" s="1"/>
  <c r="AO203" i="1" s="1"/>
  <c r="AS203" i="1" s="1"/>
  <c r="AW203" i="1" s="1"/>
  <c r="BA203" i="1" s="1"/>
  <c r="BE203" i="1" s="1"/>
  <c r="BT203" i="1" s="1"/>
  <c r="AG202" i="1"/>
  <c r="AK202" i="1" s="1"/>
  <c r="AO202" i="1" s="1"/>
  <c r="AS202" i="1" s="1"/>
  <c r="AW202" i="1" s="1"/>
  <c r="BA202" i="1" s="1"/>
  <c r="BE202" i="1" s="1"/>
  <c r="BT202" i="1" s="1"/>
  <c r="AG201" i="1"/>
  <c r="AK201" i="1" s="1"/>
  <c r="AO201" i="1" s="1"/>
  <c r="AS201" i="1" s="1"/>
  <c r="AW201" i="1" s="1"/>
  <c r="BA201" i="1" s="1"/>
  <c r="BE201" i="1" s="1"/>
  <c r="BT201" i="1" s="1"/>
  <c r="AG200" i="1"/>
  <c r="AK200" i="1" s="1"/>
  <c r="AO200" i="1" s="1"/>
  <c r="AS200" i="1" s="1"/>
  <c r="AW200" i="1" s="1"/>
  <c r="BA200" i="1" s="1"/>
  <c r="BE200" i="1" s="1"/>
  <c r="BT200" i="1" s="1"/>
  <c r="AG199" i="1"/>
  <c r="AK199" i="1" s="1"/>
  <c r="AO199" i="1" s="1"/>
  <c r="AS199" i="1" s="1"/>
  <c r="AW199" i="1" s="1"/>
  <c r="BA199" i="1" s="1"/>
  <c r="BE199" i="1" s="1"/>
  <c r="BT199" i="1" s="1"/>
  <c r="AG195" i="1"/>
  <c r="AK195" i="1" s="1"/>
  <c r="AO195" i="1" s="1"/>
  <c r="AS195" i="1" s="1"/>
  <c r="AW195" i="1" s="1"/>
  <c r="BA195" i="1" s="1"/>
  <c r="BE195" i="1" s="1"/>
  <c r="BT195" i="1" s="1"/>
  <c r="AG193" i="1"/>
  <c r="AK193" i="1" s="1"/>
  <c r="AO193" i="1" s="1"/>
  <c r="AS193" i="1" s="1"/>
  <c r="AW193" i="1" s="1"/>
  <c r="BA193" i="1" s="1"/>
  <c r="BE193" i="1" s="1"/>
  <c r="BT193" i="1" s="1"/>
  <c r="AG360" i="1"/>
  <c r="AK360" i="1" s="1"/>
  <c r="AO360" i="1" s="1"/>
  <c r="AS360" i="1" s="1"/>
  <c r="AW360" i="1" s="1"/>
  <c r="BA360" i="1" s="1"/>
  <c r="AG321" i="1"/>
  <c r="AK321" i="1" s="1"/>
  <c r="AO321" i="1" s="1"/>
  <c r="AS321" i="1" s="1"/>
  <c r="AW321" i="1" s="1"/>
  <c r="AG188" i="1"/>
  <c r="AK188" i="1" s="1"/>
  <c r="AO188" i="1" s="1"/>
  <c r="AS188" i="1" s="1"/>
  <c r="AW188" i="1" s="1"/>
  <c r="BA188" i="1" s="1"/>
  <c r="BE188" i="1" s="1"/>
  <c r="BT188" i="1" s="1"/>
  <c r="AG369" i="1"/>
  <c r="AK369" i="1" s="1"/>
  <c r="AO369" i="1" s="1"/>
  <c r="AS369" i="1" s="1"/>
  <c r="AW369" i="1" s="1"/>
  <c r="BA369" i="1" s="1"/>
  <c r="BE369" i="1" s="1"/>
  <c r="AG358" i="1"/>
  <c r="AK358" i="1" s="1"/>
  <c r="AO358" i="1" s="1"/>
  <c r="AS358" i="1" s="1"/>
  <c r="AW358" i="1" s="1"/>
  <c r="BA358" i="1" s="1"/>
  <c r="AG272" i="1"/>
  <c r="AK272" i="1" s="1"/>
  <c r="AG182" i="1"/>
  <c r="AK182" i="1" s="1"/>
  <c r="AO182" i="1" s="1"/>
  <c r="AS182" i="1" s="1"/>
  <c r="AW182" i="1" s="1"/>
  <c r="BA182" i="1" s="1"/>
  <c r="BE182" i="1" s="1"/>
  <c r="BT182" i="1" s="1"/>
  <c r="AG181" i="1"/>
  <c r="AK181" i="1" s="1"/>
  <c r="AO181" i="1" s="1"/>
  <c r="AS181" i="1" s="1"/>
  <c r="AW181" i="1" s="1"/>
  <c r="BA181" i="1" s="1"/>
  <c r="BE181" i="1" s="1"/>
  <c r="BT181" i="1" s="1"/>
  <c r="AG180" i="1"/>
  <c r="AK180" i="1" s="1"/>
  <c r="AO180" i="1" s="1"/>
  <c r="AS180" i="1" s="1"/>
  <c r="AW180" i="1" s="1"/>
  <c r="BA180" i="1" s="1"/>
  <c r="BE180" i="1" s="1"/>
  <c r="BT180" i="1" s="1"/>
  <c r="AG176" i="1"/>
  <c r="AK176" i="1" s="1"/>
  <c r="AO176" i="1" s="1"/>
  <c r="AS176" i="1" s="1"/>
  <c r="AW176" i="1" s="1"/>
  <c r="BA176" i="1" s="1"/>
  <c r="BE176" i="1" s="1"/>
  <c r="BT176" i="1" s="1"/>
  <c r="AG174" i="1"/>
  <c r="AK174" i="1" s="1"/>
  <c r="AO174" i="1" s="1"/>
  <c r="AS174" i="1" s="1"/>
  <c r="AW174" i="1" s="1"/>
  <c r="BA174" i="1" s="1"/>
  <c r="BE174" i="1" s="1"/>
  <c r="BT174" i="1" s="1"/>
  <c r="AG173" i="1"/>
  <c r="AK173" i="1" s="1"/>
  <c r="AO173" i="1" s="1"/>
  <c r="AS173" i="1" s="1"/>
  <c r="AW173" i="1" s="1"/>
  <c r="BA173" i="1" s="1"/>
  <c r="BE173" i="1" s="1"/>
  <c r="BT173" i="1" s="1"/>
  <c r="AG172" i="1"/>
  <c r="AK172" i="1" s="1"/>
  <c r="AO172" i="1" s="1"/>
  <c r="AS172" i="1" s="1"/>
  <c r="AW172" i="1" s="1"/>
  <c r="BA172" i="1" s="1"/>
  <c r="BE172" i="1" s="1"/>
  <c r="BT172" i="1" s="1"/>
  <c r="AG171" i="1"/>
  <c r="AK171" i="1" s="1"/>
  <c r="AO171" i="1" s="1"/>
  <c r="AS171" i="1" s="1"/>
  <c r="AW171" i="1" s="1"/>
  <c r="BA171" i="1" s="1"/>
  <c r="BE171" i="1" s="1"/>
  <c r="BT171" i="1" s="1"/>
  <c r="AG169" i="1"/>
  <c r="AK169" i="1" s="1"/>
  <c r="AO169" i="1" s="1"/>
  <c r="AS169" i="1" s="1"/>
  <c r="AW169" i="1" s="1"/>
  <c r="BA169" i="1" s="1"/>
  <c r="BE169" i="1" s="1"/>
  <c r="BT169" i="1" s="1"/>
  <c r="AG324" i="1"/>
  <c r="AK324" i="1" s="1"/>
  <c r="AO324" i="1" s="1"/>
  <c r="AS324" i="1" s="1"/>
  <c r="AW324" i="1" s="1"/>
  <c r="AG281" i="1"/>
  <c r="AK281" i="1" s="1"/>
  <c r="AO281" i="1" s="1"/>
  <c r="AG166" i="1"/>
  <c r="AK166" i="1" s="1"/>
  <c r="AO166" i="1" s="1"/>
  <c r="AS166" i="1" s="1"/>
  <c r="AW166" i="1" s="1"/>
  <c r="BA166" i="1" s="1"/>
  <c r="BE166" i="1" s="1"/>
  <c r="BT166" i="1" s="1"/>
  <c r="AG276" i="1"/>
  <c r="AK276" i="1" s="1"/>
  <c r="AG163" i="1"/>
  <c r="AK163" i="1" s="1"/>
  <c r="AO163" i="1" s="1"/>
  <c r="AW163" i="1" s="1"/>
  <c r="BA163" i="1" s="1"/>
  <c r="BE163" i="1" s="1"/>
  <c r="BT163" i="1" s="1"/>
  <c r="AG357" i="1"/>
  <c r="AK357" i="1" s="1"/>
  <c r="AO357" i="1" s="1"/>
  <c r="AS357" i="1" s="1"/>
  <c r="AW357" i="1" s="1"/>
  <c r="BA357" i="1" s="1"/>
  <c r="AG304" i="1"/>
  <c r="AK304" i="1" s="1"/>
  <c r="AO304" i="1" s="1"/>
  <c r="AS304" i="1" s="1"/>
  <c r="AW304" i="1" s="1"/>
  <c r="AG161" i="1"/>
  <c r="AK161" i="1" s="1"/>
  <c r="AO161" i="1" s="1"/>
  <c r="AS161" i="1" s="1"/>
  <c r="AW161" i="1" s="1"/>
  <c r="BA161" i="1" s="1"/>
  <c r="BE161" i="1" s="1"/>
  <c r="BT161" i="1" s="1"/>
  <c r="AG159" i="1"/>
  <c r="AK159" i="1" s="1"/>
  <c r="AO159" i="1" s="1"/>
  <c r="AS159" i="1" s="1"/>
  <c r="AW159" i="1" s="1"/>
  <c r="BA159" i="1" s="1"/>
  <c r="BE159" i="1" s="1"/>
  <c r="BT159" i="1" s="1"/>
  <c r="AG153" i="1"/>
  <c r="AK153" i="1" s="1"/>
  <c r="AO153" i="1" s="1"/>
  <c r="AS153" i="1" s="1"/>
  <c r="AW153" i="1" s="1"/>
  <c r="BA153" i="1" s="1"/>
  <c r="BE153" i="1" s="1"/>
  <c r="BT153" i="1" s="1"/>
  <c r="AG271" i="1"/>
  <c r="AK271" i="1" s="1"/>
  <c r="AG151" i="1"/>
  <c r="AK151" i="1" s="1"/>
  <c r="AO151" i="1" s="1"/>
  <c r="AS151" i="1" s="1"/>
  <c r="AW151" i="1" s="1"/>
  <c r="BA151" i="1" s="1"/>
  <c r="BE151" i="1" s="1"/>
  <c r="BT151" i="1" s="1"/>
  <c r="AG275" i="1"/>
  <c r="AK275" i="1" s="1"/>
  <c r="AG267" i="1"/>
  <c r="AK267" i="1" s="1"/>
  <c r="AG143" i="1"/>
  <c r="AK143" i="1" s="1"/>
  <c r="AO143" i="1" s="1"/>
  <c r="AS143" i="1" s="1"/>
  <c r="AW143" i="1" s="1"/>
  <c r="BA143" i="1" s="1"/>
  <c r="BE143" i="1" s="1"/>
  <c r="BT143" i="1" s="1"/>
  <c r="AG142" i="1"/>
  <c r="AK142" i="1" s="1"/>
  <c r="AO142" i="1" s="1"/>
  <c r="AS142" i="1" s="1"/>
  <c r="AW142" i="1" s="1"/>
  <c r="BA142" i="1" s="1"/>
  <c r="BE142" i="1" s="1"/>
  <c r="BT142" i="1" s="1"/>
  <c r="AG141" i="1"/>
  <c r="AK141" i="1" s="1"/>
  <c r="AO141" i="1" s="1"/>
  <c r="AS141" i="1" s="1"/>
  <c r="AW141" i="1" s="1"/>
  <c r="BA141" i="1" s="1"/>
  <c r="BE141" i="1" s="1"/>
  <c r="BT141" i="1" s="1"/>
  <c r="AG139" i="1"/>
  <c r="AK139" i="1" s="1"/>
  <c r="AO139" i="1" s="1"/>
  <c r="AS139" i="1" s="1"/>
  <c r="AW139" i="1" s="1"/>
  <c r="BA139" i="1" s="1"/>
  <c r="BE139" i="1" s="1"/>
  <c r="BT139" i="1" s="1"/>
  <c r="AG138" i="1"/>
  <c r="AK138" i="1" s="1"/>
  <c r="AO138" i="1" s="1"/>
  <c r="AS138" i="1" s="1"/>
  <c r="AW138" i="1" s="1"/>
  <c r="BA138" i="1" s="1"/>
  <c r="BE138" i="1" s="1"/>
  <c r="BT138" i="1" s="1"/>
  <c r="AG136" i="1"/>
  <c r="AK136" i="1" s="1"/>
  <c r="AO136" i="1" s="1"/>
  <c r="AS136" i="1" s="1"/>
  <c r="AW136" i="1" s="1"/>
  <c r="BA136" i="1" s="1"/>
  <c r="BE136" i="1" s="1"/>
  <c r="BT136" i="1" s="1"/>
  <c r="AG135" i="1"/>
  <c r="AK135" i="1" s="1"/>
  <c r="AO135" i="1" s="1"/>
  <c r="AS135" i="1" s="1"/>
  <c r="AW135" i="1" s="1"/>
  <c r="BA135" i="1" s="1"/>
  <c r="BE135" i="1" s="1"/>
  <c r="BT135" i="1" s="1"/>
  <c r="AG289" i="1"/>
  <c r="AK289" i="1" s="1"/>
  <c r="AO289" i="1" s="1"/>
  <c r="AG133" i="1"/>
  <c r="AK133" i="1" s="1"/>
  <c r="AO133" i="1" s="1"/>
  <c r="AS133" i="1" s="1"/>
  <c r="AW133" i="1" s="1"/>
  <c r="BA133" i="1" s="1"/>
  <c r="BE133" i="1" s="1"/>
  <c r="BT133" i="1" s="1"/>
  <c r="AG132" i="1"/>
  <c r="AK132" i="1" s="1"/>
  <c r="AO132" i="1" s="1"/>
  <c r="AS132" i="1" s="1"/>
  <c r="AW132" i="1" s="1"/>
  <c r="BA132" i="1" s="1"/>
  <c r="BE132" i="1" s="1"/>
  <c r="BT132" i="1" s="1"/>
  <c r="AG131" i="1"/>
  <c r="AK131" i="1" s="1"/>
  <c r="AO131" i="1" s="1"/>
  <c r="AS131" i="1" s="1"/>
  <c r="AW131" i="1" s="1"/>
  <c r="BA131" i="1" s="1"/>
  <c r="BE131" i="1" s="1"/>
  <c r="BT131" i="1" s="1"/>
  <c r="AG280" i="1"/>
  <c r="AK280" i="1" s="1"/>
  <c r="AO280" i="1" s="1"/>
  <c r="AG274" i="1"/>
  <c r="AK274" i="1" s="1"/>
  <c r="AG127" i="1"/>
  <c r="AK127" i="1" s="1"/>
  <c r="AO127" i="1" s="1"/>
  <c r="AS127" i="1" s="1"/>
  <c r="AW127" i="1" s="1"/>
  <c r="BA127" i="1" s="1"/>
  <c r="BE127" i="1" s="1"/>
  <c r="BT127" i="1" s="1"/>
  <c r="AG126" i="1"/>
  <c r="AK126" i="1" s="1"/>
  <c r="AO126" i="1" s="1"/>
  <c r="AS126" i="1" s="1"/>
  <c r="AW126" i="1" s="1"/>
  <c r="BA126" i="1" s="1"/>
  <c r="BE126" i="1" s="1"/>
  <c r="BT126" i="1" s="1"/>
  <c r="AG123" i="1"/>
  <c r="AK123" i="1" s="1"/>
  <c r="AO123" i="1" s="1"/>
  <c r="AS123" i="1" s="1"/>
  <c r="AW123" i="1" s="1"/>
  <c r="BA123" i="1" s="1"/>
  <c r="BE123" i="1" s="1"/>
  <c r="BT123" i="1" s="1"/>
  <c r="AG320" i="1"/>
  <c r="AK320" i="1" s="1"/>
  <c r="AO320" i="1" s="1"/>
  <c r="AS320" i="1" s="1"/>
  <c r="AW320" i="1" s="1"/>
  <c r="AG319" i="1"/>
  <c r="AK319" i="1" s="1"/>
  <c r="AO319" i="1" s="1"/>
  <c r="AS319" i="1" s="1"/>
  <c r="AW319" i="1" s="1"/>
  <c r="AG121" i="1"/>
  <c r="AK121" i="1" s="1"/>
  <c r="AO121" i="1" s="1"/>
  <c r="AS121" i="1" s="1"/>
  <c r="AW121" i="1" s="1"/>
  <c r="BA121" i="1" s="1"/>
  <c r="BE121" i="1" s="1"/>
  <c r="BT121" i="1" s="1"/>
  <c r="AG277" i="1"/>
  <c r="AK277" i="1" s="1"/>
  <c r="AG119" i="1"/>
  <c r="AK119" i="1" s="1"/>
  <c r="AO119" i="1" s="1"/>
  <c r="AS119" i="1" s="1"/>
  <c r="AW119" i="1" s="1"/>
  <c r="BA119" i="1" s="1"/>
  <c r="BE119" i="1" s="1"/>
  <c r="BT119" i="1" s="1"/>
  <c r="AG117" i="1"/>
  <c r="AK117" i="1" s="1"/>
  <c r="AO117" i="1" s="1"/>
  <c r="AS117" i="1" s="1"/>
  <c r="AW117" i="1" s="1"/>
  <c r="BA117" i="1" s="1"/>
  <c r="BE117" i="1" s="1"/>
  <c r="BT117" i="1" s="1"/>
  <c r="AG116" i="1"/>
  <c r="AK116" i="1" s="1"/>
  <c r="AO116" i="1" s="1"/>
  <c r="AS116" i="1" s="1"/>
  <c r="AW116" i="1" s="1"/>
  <c r="BA116" i="1" s="1"/>
  <c r="BE116" i="1" s="1"/>
  <c r="BT116" i="1" s="1"/>
  <c r="AG115" i="1"/>
  <c r="AK115" i="1" s="1"/>
  <c r="AO115" i="1" s="1"/>
  <c r="AS115" i="1" s="1"/>
  <c r="AW115" i="1" s="1"/>
  <c r="BA115" i="1" s="1"/>
  <c r="BE115" i="1" s="1"/>
  <c r="BT115" i="1" s="1"/>
  <c r="AG114" i="1"/>
  <c r="AK114" i="1" s="1"/>
  <c r="AO114" i="1" s="1"/>
  <c r="AS114" i="1" s="1"/>
  <c r="AW114" i="1" s="1"/>
  <c r="BA114" i="1" s="1"/>
  <c r="BE114" i="1" s="1"/>
  <c r="BT114" i="1" s="1"/>
  <c r="AG112" i="1"/>
  <c r="AK112" i="1" s="1"/>
  <c r="AO112" i="1" s="1"/>
  <c r="AS112" i="1" s="1"/>
  <c r="AW112" i="1" s="1"/>
  <c r="BA112" i="1" s="1"/>
  <c r="BE112" i="1" s="1"/>
  <c r="BT112" i="1" s="1"/>
  <c r="AG110" i="1"/>
  <c r="AK110" i="1" s="1"/>
  <c r="AO110" i="1" s="1"/>
  <c r="AS110" i="1" s="1"/>
  <c r="AW110" i="1" s="1"/>
  <c r="BA110" i="1" s="1"/>
  <c r="BE110" i="1" s="1"/>
  <c r="BT110" i="1" s="1"/>
  <c r="AG109" i="1"/>
  <c r="AK109" i="1" s="1"/>
  <c r="AO109" i="1" s="1"/>
  <c r="AS109" i="1" s="1"/>
  <c r="AW109" i="1" s="1"/>
  <c r="BA109" i="1" s="1"/>
  <c r="BE109" i="1" s="1"/>
  <c r="BT109" i="1" s="1"/>
  <c r="AG108" i="1"/>
  <c r="AK108" i="1" s="1"/>
  <c r="AO108" i="1" s="1"/>
  <c r="AS108" i="1" s="1"/>
  <c r="AW108" i="1" s="1"/>
  <c r="BA108" i="1" s="1"/>
  <c r="BE108" i="1" s="1"/>
  <c r="BT108" i="1" s="1"/>
  <c r="AG106" i="1"/>
  <c r="AK106" i="1" s="1"/>
  <c r="AO106" i="1" s="1"/>
  <c r="AS106" i="1" s="1"/>
  <c r="AW106" i="1" s="1"/>
  <c r="BA106" i="1" s="1"/>
  <c r="BE106" i="1" s="1"/>
  <c r="BT106" i="1" s="1"/>
  <c r="AG335" i="1"/>
  <c r="AK335" i="1" s="1"/>
  <c r="AO335" i="1" s="1"/>
  <c r="AS335" i="1" s="1"/>
  <c r="AW335" i="1" s="1"/>
  <c r="BA335" i="1" s="1"/>
  <c r="AG104" i="1"/>
  <c r="AK104" i="1" s="1"/>
  <c r="AO104" i="1" s="1"/>
  <c r="AS104" i="1" s="1"/>
  <c r="AW104" i="1" s="1"/>
  <c r="BA104" i="1" s="1"/>
  <c r="BE104" i="1" s="1"/>
  <c r="BT104" i="1" s="1"/>
  <c r="AG102" i="1"/>
  <c r="AK102" i="1" s="1"/>
  <c r="AO102" i="1" s="1"/>
  <c r="AS102" i="1" s="1"/>
  <c r="AW102" i="1" s="1"/>
  <c r="BA102" i="1" s="1"/>
  <c r="BE102" i="1" s="1"/>
  <c r="BT102" i="1" s="1"/>
  <c r="AG101" i="1"/>
  <c r="AK101" i="1" s="1"/>
  <c r="AO101" i="1" s="1"/>
  <c r="AS101" i="1" s="1"/>
  <c r="AW101" i="1" s="1"/>
  <c r="BA101" i="1" s="1"/>
  <c r="BE101" i="1" s="1"/>
  <c r="BT101" i="1" s="1"/>
  <c r="AG96" i="1"/>
  <c r="AK96" i="1" s="1"/>
  <c r="AO96" i="1" s="1"/>
  <c r="AS96" i="1" s="1"/>
  <c r="AW96" i="1" s="1"/>
  <c r="BA96" i="1" s="1"/>
  <c r="BE96" i="1" s="1"/>
  <c r="BT96" i="1" s="1"/>
  <c r="AG95" i="1"/>
  <c r="AK95" i="1" s="1"/>
  <c r="AO95" i="1" s="1"/>
  <c r="AS95" i="1" s="1"/>
  <c r="AW95" i="1" s="1"/>
  <c r="BA95" i="1" s="1"/>
  <c r="BE95" i="1" s="1"/>
  <c r="BT95" i="1" s="1"/>
  <c r="AG94" i="1"/>
  <c r="AK94" i="1" s="1"/>
  <c r="AO94" i="1" s="1"/>
  <c r="AS94" i="1" s="1"/>
  <c r="AW94" i="1" s="1"/>
  <c r="BA94" i="1" s="1"/>
  <c r="BE94" i="1" s="1"/>
  <c r="BT94" i="1" s="1"/>
  <c r="AG92" i="1"/>
  <c r="AK92" i="1" s="1"/>
  <c r="AO92" i="1" s="1"/>
  <c r="AS92" i="1" s="1"/>
  <c r="AW92" i="1" s="1"/>
  <c r="BA92" i="1" s="1"/>
  <c r="BE92" i="1" s="1"/>
  <c r="BT92" i="1" s="1"/>
  <c r="AG279" i="1"/>
  <c r="AK279" i="1" s="1"/>
  <c r="AO279" i="1" s="1"/>
  <c r="AG88" i="1"/>
  <c r="AK88" i="1" s="1"/>
  <c r="AO88" i="1" s="1"/>
  <c r="AS88" i="1" s="1"/>
  <c r="AW88" i="1" s="1"/>
  <c r="BA88" i="1" s="1"/>
  <c r="BE88" i="1" s="1"/>
  <c r="BT88" i="1" s="1"/>
  <c r="AG87" i="1"/>
  <c r="AK87" i="1" s="1"/>
  <c r="AO87" i="1" s="1"/>
  <c r="AS87" i="1" s="1"/>
  <c r="AW87" i="1" s="1"/>
  <c r="BA87" i="1" s="1"/>
  <c r="BE87" i="1" s="1"/>
  <c r="BT87" i="1" s="1"/>
  <c r="AG85" i="1"/>
  <c r="AK85" i="1" s="1"/>
  <c r="AO85" i="1" s="1"/>
  <c r="AS85" i="1" s="1"/>
  <c r="AW85" i="1" s="1"/>
  <c r="BA85" i="1" s="1"/>
  <c r="BE85" i="1" s="1"/>
  <c r="BT85" i="1" s="1"/>
  <c r="AG301" i="1"/>
  <c r="AK301" i="1" s="1"/>
  <c r="AO301" i="1" s="1"/>
  <c r="AS301" i="1" s="1"/>
  <c r="AW301" i="1" s="1"/>
  <c r="AG307" i="1"/>
  <c r="AK307" i="1" s="1"/>
  <c r="AO307" i="1" s="1"/>
  <c r="AS307" i="1" s="1"/>
  <c r="AW307" i="1" s="1"/>
  <c r="AG80" i="1"/>
  <c r="AK80" i="1" s="1"/>
  <c r="AO80" i="1" s="1"/>
  <c r="AS80" i="1" s="1"/>
  <c r="AW80" i="1" s="1"/>
  <c r="BA80" i="1" s="1"/>
  <c r="BE80" i="1" s="1"/>
  <c r="BT80" i="1" s="1"/>
  <c r="AG77" i="1"/>
  <c r="AK77" i="1" s="1"/>
  <c r="AO77" i="1" s="1"/>
  <c r="AS77" i="1" s="1"/>
  <c r="AW77" i="1" s="1"/>
  <c r="BA77" i="1" s="1"/>
  <c r="BE77" i="1" s="1"/>
  <c r="BT77" i="1" s="1"/>
  <c r="AG76" i="1"/>
  <c r="AK76" i="1" s="1"/>
  <c r="AO76" i="1" s="1"/>
  <c r="AS76" i="1" s="1"/>
  <c r="AW76" i="1" s="1"/>
  <c r="BA76" i="1" s="1"/>
  <c r="BE76" i="1" s="1"/>
  <c r="BT76" i="1" s="1"/>
  <c r="AG264" i="1"/>
  <c r="AG75" i="1"/>
  <c r="AK75" i="1" s="1"/>
  <c r="AO75" i="1" s="1"/>
  <c r="AS75" i="1" s="1"/>
  <c r="AW75" i="1" s="1"/>
  <c r="BA75" i="1" s="1"/>
  <c r="BE75" i="1" s="1"/>
  <c r="BT75" i="1" s="1"/>
  <c r="AG300" i="1"/>
  <c r="AK300" i="1" s="1"/>
  <c r="AO300" i="1" s="1"/>
  <c r="AS300" i="1" s="1"/>
  <c r="AW300" i="1" s="1"/>
  <c r="AG70" i="1"/>
  <c r="AK70" i="1" s="1"/>
  <c r="AO70" i="1" s="1"/>
  <c r="AS70" i="1" s="1"/>
  <c r="AW70" i="1" s="1"/>
  <c r="BA70" i="1" s="1"/>
  <c r="BE70" i="1" s="1"/>
  <c r="BT70" i="1" s="1"/>
  <c r="AG69" i="1"/>
  <c r="AK69" i="1" s="1"/>
  <c r="AO69" i="1" s="1"/>
  <c r="AS69" i="1" s="1"/>
  <c r="AW69" i="1" s="1"/>
  <c r="BA69" i="1" s="1"/>
  <c r="BE69" i="1" s="1"/>
  <c r="BT69" i="1" s="1"/>
  <c r="AG67" i="1"/>
  <c r="AK67" i="1" s="1"/>
  <c r="AO67" i="1" s="1"/>
  <c r="AS67" i="1" s="1"/>
  <c r="AW67" i="1" s="1"/>
  <c r="BA67" i="1" s="1"/>
  <c r="BE67" i="1" s="1"/>
  <c r="BT67" i="1" s="1"/>
  <c r="AG303" i="1"/>
  <c r="AK303" i="1" s="1"/>
  <c r="AO303" i="1" s="1"/>
  <c r="AS303" i="1" s="1"/>
  <c r="AW303" i="1" s="1"/>
  <c r="AG66" i="1"/>
  <c r="AK66" i="1" s="1"/>
  <c r="AO66" i="1" s="1"/>
  <c r="AS66" i="1" s="1"/>
  <c r="AW66" i="1" s="1"/>
  <c r="BA66" i="1" s="1"/>
  <c r="BE66" i="1" s="1"/>
  <c r="BT66" i="1" s="1"/>
  <c r="AG57" i="1"/>
  <c r="AK57" i="1" s="1"/>
  <c r="AO57" i="1" s="1"/>
  <c r="AS57" i="1" s="1"/>
  <c r="AW57" i="1" s="1"/>
  <c r="BA57" i="1" s="1"/>
  <c r="BE57" i="1" s="1"/>
  <c r="BT57" i="1" s="1"/>
  <c r="AG56" i="1"/>
  <c r="AK56" i="1" s="1"/>
  <c r="AO56" i="1" s="1"/>
  <c r="AS56" i="1" s="1"/>
  <c r="AW56" i="1" s="1"/>
  <c r="BA56" i="1" s="1"/>
  <c r="BE56" i="1" s="1"/>
  <c r="BT56" i="1" s="1"/>
  <c r="AG55" i="1"/>
  <c r="AK55" i="1" s="1"/>
  <c r="AO55" i="1" s="1"/>
  <c r="AS55" i="1" s="1"/>
  <c r="AW55" i="1" s="1"/>
  <c r="BA55" i="1" s="1"/>
  <c r="BE55" i="1" s="1"/>
  <c r="BT55" i="1" s="1"/>
  <c r="AG54" i="1"/>
  <c r="AK54" i="1" s="1"/>
  <c r="AG51" i="1"/>
  <c r="AK51" i="1" s="1"/>
  <c r="AO51" i="1" s="1"/>
  <c r="AS51" i="1" s="1"/>
  <c r="AW51" i="1" s="1"/>
  <c r="BA51" i="1" s="1"/>
  <c r="BE51" i="1" s="1"/>
  <c r="BT51" i="1" s="1"/>
  <c r="AG50" i="1"/>
  <c r="AK50" i="1" s="1"/>
  <c r="AO50" i="1" s="1"/>
  <c r="AS50" i="1" s="1"/>
  <c r="AW50" i="1" s="1"/>
  <c r="BA50" i="1" s="1"/>
  <c r="BE50" i="1" s="1"/>
  <c r="BT50" i="1" s="1"/>
  <c r="AG48" i="1"/>
  <c r="AK48" i="1" s="1"/>
  <c r="AO48" i="1" s="1"/>
  <c r="AS48" i="1" s="1"/>
  <c r="AW48" i="1" s="1"/>
  <c r="BA48" i="1" s="1"/>
  <c r="BE48" i="1" s="1"/>
  <c r="BT48" i="1" s="1"/>
  <c r="AG47" i="1"/>
  <c r="AK47" i="1" s="1"/>
  <c r="AO47" i="1" s="1"/>
  <c r="AS47" i="1" s="1"/>
  <c r="AW47" i="1" s="1"/>
  <c r="BA47" i="1" s="1"/>
  <c r="BE47" i="1" s="1"/>
  <c r="BT47" i="1" s="1"/>
  <c r="AG46" i="1"/>
  <c r="AK46" i="1" s="1"/>
  <c r="AO46" i="1" s="1"/>
  <c r="AS46" i="1" s="1"/>
  <c r="AW46" i="1" s="1"/>
  <c r="BA46" i="1" s="1"/>
  <c r="BE46" i="1" s="1"/>
  <c r="BT46" i="1" s="1"/>
  <c r="AG45" i="1"/>
  <c r="AK45" i="1" s="1"/>
  <c r="AO45" i="1" s="1"/>
  <c r="AS45" i="1" s="1"/>
  <c r="AW45" i="1" s="1"/>
  <c r="BA45" i="1" s="1"/>
  <c r="BE45" i="1" s="1"/>
  <c r="BT45" i="1" s="1"/>
  <c r="AG269" i="1"/>
  <c r="AK269" i="1" s="1"/>
  <c r="AG39" i="1"/>
  <c r="AK39" i="1" s="1"/>
  <c r="AO39" i="1" s="1"/>
  <c r="AS39" i="1" s="1"/>
  <c r="AW39" i="1" s="1"/>
  <c r="BA39" i="1" s="1"/>
  <c r="BE39" i="1" s="1"/>
  <c r="BT39" i="1" s="1"/>
  <c r="AG37" i="1"/>
  <c r="AK37" i="1" s="1"/>
  <c r="AG36" i="1"/>
  <c r="AK36" i="1" s="1"/>
  <c r="AO36" i="1" s="1"/>
  <c r="AS36" i="1" s="1"/>
  <c r="AW36" i="1" s="1"/>
  <c r="BA36" i="1" s="1"/>
  <c r="BE36" i="1" s="1"/>
  <c r="BT36" i="1" s="1"/>
  <c r="AG35" i="1"/>
  <c r="AK35" i="1" s="1"/>
  <c r="AO35" i="1" s="1"/>
  <c r="AS35" i="1" s="1"/>
  <c r="AW35" i="1" s="1"/>
  <c r="BA35" i="1" s="1"/>
  <c r="BE35" i="1" s="1"/>
  <c r="BT35" i="1" s="1"/>
  <c r="AG34" i="1"/>
  <c r="AK34" i="1" s="1"/>
  <c r="AO34" i="1" s="1"/>
  <c r="AS34" i="1" s="1"/>
  <c r="AW34" i="1" s="1"/>
  <c r="BA34" i="1" s="1"/>
  <c r="BE34" i="1" s="1"/>
  <c r="BT34" i="1" s="1"/>
  <c r="AG354" i="1"/>
  <c r="AK354" i="1" s="1"/>
  <c r="AO354" i="1" s="1"/>
  <c r="AS354" i="1" s="1"/>
  <c r="AW354" i="1" s="1"/>
  <c r="BA354" i="1" s="1"/>
  <c r="AG29" i="1"/>
  <c r="AK29" i="1" s="1"/>
  <c r="AO29" i="1" s="1"/>
  <c r="AS29" i="1" s="1"/>
  <c r="AW29" i="1" s="1"/>
  <c r="BA29" i="1" s="1"/>
  <c r="BE29" i="1" s="1"/>
  <c r="BT29" i="1" s="1"/>
  <c r="AG26" i="1"/>
  <c r="AK26" i="1" s="1"/>
  <c r="AO26" i="1" s="1"/>
  <c r="AS26" i="1" s="1"/>
  <c r="AW26" i="1" s="1"/>
  <c r="BA26" i="1" s="1"/>
  <c r="BE26" i="1" s="1"/>
  <c r="BT26" i="1" s="1"/>
  <c r="AG25" i="1"/>
  <c r="AK25" i="1" s="1"/>
  <c r="AO25" i="1" s="1"/>
  <c r="AS25" i="1" s="1"/>
  <c r="AW25" i="1" s="1"/>
  <c r="BA25" i="1" s="1"/>
  <c r="BE25" i="1" s="1"/>
  <c r="BT25" i="1" s="1"/>
  <c r="AG24" i="1"/>
  <c r="AK24" i="1" s="1"/>
  <c r="AO24" i="1" s="1"/>
  <c r="AS24" i="1" s="1"/>
  <c r="AW24" i="1" s="1"/>
  <c r="BA24" i="1" s="1"/>
  <c r="BE24" i="1" s="1"/>
  <c r="BT24" i="1" s="1"/>
  <c r="AG23" i="1"/>
  <c r="AK23" i="1" s="1"/>
  <c r="AO23" i="1" s="1"/>
  <c r="AS23" i="1" s="1"/>
  <c r="AW23" i="1" s="1"/>
  <c r="BA23" i="1" s="1"/>
  <c r="BE23" i="1" s="1"/>
  <c r="BT23" i="1" s="1"/>
  <c r="AG19" i="1"/>
  <c r="AK19" i="1" s="1"/>
  <c r="AO19" i="1" s="1"/>
  <c r="AS19" i="1" s="1"/>
  <c r="AW19" i="1" s="1"/>
  <c r="BA19" i="1" s="1"/>
  <c r="BE19" i="1" s="1"/>
  <c r="BT19" i="1" s="1"/>
  <c r="AG270" i="1"/>
  <c r="AK270" i="1" s="1"/>
  <c r="AG17" i="1"/>
  <c r="AK17" i="1" s="1"/>
  <c r="AO17" i="1" s="1"/>
  <c r="AS17" i="1" s="1"/>
  <c r="AW17" i="1" s="1"/>
  <c r="BA17" i="1" s="1"/>
  <c r="BE17" i="1" s="1"/>
  <c r="BT17" i="1" s="1"/>
  <c r="AG16" i="1"/>
  <c r="AK16" i="1" s="1"/>
  <c r="AO16" i="1" s="1"/>
  <c r="AS16" i="1" s="1"/>
  <c r="AW16" i="1" s="1"/>
  <c r="BA16" i="1" s="1"/>
  <c r="BE16" i="1" s="1"/>
  <c r="BT16" i="1" s="1"/>
  <c r="AG14" i="1"/>
  <c r="AK14" i="1" s="1"/>
  <c r="AO14" i="1" s="1"/>
  <c r="AS14" i="1" s="1"/>
  <c r="AW14" i="1" s="1"/>
  <c r="BA14" i="1" s="1"/>
  <c r="BE14" i="1" s="1"/>
  <c r="BT14" i="1" s="1"/>
  <c r="AG266" i="1"/>
  <c r="AK266" i="1" s="1"/>
  <c r="AG11" i="1"/>
  <c r="AK11" i="1" s="1"/>
  <c r="AO11" i="1" s="1"/>
  <c r="AS11" i="1" s="1"/>
  <c r="AW11" i="1" s="1"/>
  <c r="BA11" i="1" s="1"/>
  <c r="BE11" i="1" s="1"/>
  <c r="BT11" i="1" s="1"/>
  <c r="AG10" i="1"/>
  <c r="AK10" i="1" s="1"/>
  <c r="AO10" i="1" s="1"/>
  <c r="AS10" i="1" s="1"/>
  <c r="AW10" i="1" s="1"/>
  <c r="BA10" i="1" s="1"/>
  <c r="BE10" i="1" s="1"/>
  <c r="BT10" i="1" s="1"/>
  <c r="AG9" i="1"/>
  <c r="AK9" i="1" s="1"/>
  <c r="AO9" i="1" s="1"/>
  <c r="AS9" i="1" s="1"/>
  <c r="AW9" i="1" s="1"/>
  <c r="BA9" i="1" s="1"/>
  <c r="BE9" i="1" s="1"/>
  <c r="BT9" i="1" s="1"/>
  <c r="AO37" i="1" l="1"/>
  <c r="AS37" i="1" s="1"/>
  <c r="AW37" i="1" s="1"/>
  <c r="BA37" i="1" s="1"/>
  <c r="BE37" i="1" s="1"/>
  <c r="BT37" i="1" s="1"/>
  <c r="AO54" i="1"/>
  <c r="AS54" i="1" s="1"/>
  <c r="AW54" i="1" s="1"/>
  <c r="BA54" i="1" s="1"/>
  <c r="BE54" i="1" s="1"/>
  <c r="BT54" i="1" s="1"/>
  <c r="G121" i="1"/>
  <c r="F121" i="1"/>
  <c r="H121" i="1" l="1"/>
  <c r="G151" i="1"/>
  <c r="H151" i="1" s="1"/>
  <c r="G279" i="1" l="1"/>
  <c r="F279" i="1"/>
  <c r="H279" i="1" l="1"/>
  <c r="G272" i="1"/>
  <c r="F272" i="1"/>
  <c r="G171" i="1"/>
  <c r="F171" i="1"/>
  <c r="H171" i="1" l="1"/>
  <c r="H272" i="1"/>
  <c r="G75" i="1"/>
  <c r="F75" i="1"/>
  <c r="H75" i="1" l="1"/>
  <c r="G9" i="1"/>
  <c r="F9" i="1"/>
  <c r="H9" i="1" l="1"/>
  <c r="G264" i="1" l="1"/>
  <c r="F264" i="1"/>
  <c r="H264" i="1" l="1"/>
  <c r="G262" i="1"/>
  <c r="F262" i="1"/>
  <c r="H262" i="1" l="1"/>
  <c r="G265" i="1"/>
  <c r="F265" i="1"/>
  <c r="H265" i="1" l="1"/>
  <c r="F161" i="1"/>
  <c r="G161" i="1"/>
  <c r="H161" i="1" l="1"/>
  <c r="G25" i="1" l="1"/>
  <c r="F25" i="1"/>
  <c r="H25" i="1" l="1"/>
  <c r="G324" i="1"/>
  <c r="F324" i="1"/>
  <c r="H324" i="1" l="1"/>
  <c r="G77" i="1"/>
  <c r="F77" i="1"/>
  <c r="H77" i="1" l="1"/>
  <c r="G280" i="1" l="1"/>
  <c r="F280" i="1"/>
  <c r="H280" i="1" l="1"/>
  <c r="F106" i="1" l="1"/>
  <c r="F276" i="1"/>
  <c r="F182" i="1"/>
  <c r="F181" i="1"/>
  <c r="G59" i="1" l="1"/>
  <c r="F59" i="1"/>
  <c r="G213" i="1"/>
  <c r="F213" i="1"/>
  <c r="G182" i="1"/>
  <c r="G181" i="1"/>
  <c r="G169" i="1"/>
  <c r="F169" i="1"/>
  <c r="G276" i="1"/>
  <c r="G304" i="1"/>
  <c r="F304" i="1"/>
  <c r="G153" i="1"/>
  <c r="F153" i="1"/>
  <c r="G319" i="1"/>
  <c r="F319" i="1"/>
  <c r="G119" i="1"/>
  <c r="F119" i="1"/>
  <c r="G117" i="1"/>
  <c r="F117" i="1"/>
  <c r="G114" i="1"/>
  <c r="F114" i="1"/>
  <c r="G106" i="1"/>
  <c r="G250" i="1"/>
  <c r="F250" i="1"/>
  <c r="G95" i="1"/>
  <c r="F95" i="1"/>
  <c r="G92" i="1"/>
  <c r="F92" i="1"/>
  <c r="G249" i="1"/>
  <c r="F249" i="1"/>
  <c r="G80" i="1"/>
  <c r="F80" i="1"/>
  <c r="G258" i="1"/>
  <c r="F258" i="1"/>
  <c r="G257" i="1"/>
  <c r="F257" i="1"/>
  <c r="G303" i="1"/>
  <c r="F303" i="1"/>
  <c r="H169" i="1" l="1"/>
  <c r="H181" i="1"/>
  <c r="H182" i="1"/>
  <c r="H213" i="1"/>
  <c r="H59" i="1"/>
  <c r="H153" i="1"/>
  <c r="H276" i="1"/>
  <c r="H304" i="1"/>
  <c r="H250" i="1"/>
  <c r="H119" i="1"/>
  <c r="H257" i="1"/>
  <c r="H117" i="1"/>
  <c r="H114" i="1"/>
  <c r="H319" i="1"/>
  <c r="H249" i="1"/>
  <c r="H106" i="1"/>
  <c r="H258" i="1"/>
  <c r="H95" i="1"/>
  <c r="H80" i="1"/>
  <c r="H92" i="1"/>
  <c r="H303" i="1"/>
  <c r="G55" i="1" l="1"/>
  <c r="F55" i="1"/>
  <c r="G54" i="1"/>
  <c r="F54" i="1"/>
  <c r="G35" i="1"/>
  <c r="F35" i="1"/>
  <c r="G256" i="1"/>
  <c r="F256" i="1"/>
  <c r="F246" i="1"/>
  <c r="G246" i="1"/>
  <c r="G16" i="1"/>
  <c r="F16" i="1"/>
  <c r="H35" i="1" l="1"/>
  <c r="H256" i="1"/>
  <c r="H55" i="1"/>
  <c r="H54" i="1"/>
  <c r="H16" i="1"/>
  <c r="H246" i="1"/>
  <c r="G300" i="1" l="1"/>
  <c r="F300" i="1"/>
  <c r="H300" i="1" l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11" i="1"/>
  <c r="G206" i="1"/>
  <c r="G204" i="1"/>
  <c r="G203" i="1"/>
  <c r="G202" i="1"/>
  <c r="G201" i="1"/>
  <c r="G200" i="1"/>
  <c r="G199" i="1"/>
  <c r="G195" i="1"/>
  <c r="G193" i="1"/>
  <c r="G360" i="1"/>
  <c r="G255" i="1"/>
  <c r="G321" i="1"/>
  <c r="G188" i="1"/>
  <c r="G369" i="1"/>
  <c r="G358" i="1"/>
  <c r="G180" i="1"/>
  <c r="G176" i="1"/>
  <c r="G254" i="1"/>
  <c r="G174" i="1"/>
  <c r="G173" i="1"/>
  <c r="G172" i="1"/>
  <c r="G281" i="1"/>
  <c r="G166" i="1"/>
  <c r="G163" i="1"/>
  <c r="G357" i="1"/>
  <c r="G159" i="1"/>
  <c r="G271" i="1"/>
  <c r="G253" i="1"/>
  <c r="G275" i="1"/>
  <c r="G267" i="1"/>
  <c r="G252" i="1"/>
  <c r="G143" i="1"/>
  <c r="AA142" i="1"/>
  <c r="BU142" i="1" s="1"/>
  <c r="G141" i="1"/>
  <c r="G139" i="1"/>
  <c r="G138" i="1"/>
  <c r="G136" i="1"/>
  <c r="AA135" i="1"/>
  <c r="BU135" i="1" s="1"/>
  <c r="G289" i="1"/>
  <c r="G133" i="1"/>
  <c r="G132" i="1"/>
  <c r="G131" i="1"/>
  <c r="G274" i="1"/>
  <c r="G127" i="1"/>
  <c r="G126" i="1"/>
  <c r="G123" i="1"/>
  <c r="G251" i="1"/>
  <c r="G320" i="1"/>
  <c r="G277" i="1"/>
  <c r="G116" i="1"/>
  <c r="G115" i="1"/>
  <c r="G112" i="1"/>
  <c r="G110" i="1"/>
  <c r="G109" i="1"/>
  <c r="G108" i="1"/>
  <c r="G335" i="1"/>
  <c r="G104" i="1"/>
  <c r="G102" i="1"/>
  <c r="G101" i="1"/>
  <c r="G96" i="1"/>
  <c r="G94" i="1"/>
  <c r="G88" i="1"/>
  <c r="G87" i="1"/>
  <c r="G85" i="1"/>
  <c r="G301" i="1"/>
  <c r="G307" i="1"/>
  <c r="G76" i="1"/>
  <c r="G70" i="1"/>
  <c r="G69" i="1"/>
  <c r="G259" i="1"/>
  <c r="G67" i="1"/>
  <c r="G66" i="1"/>
  <c r="G57" i="1"/>
  <c r="G56" i="1"/>
  <c r="G51" i="1"/>
  <c r="G50" i="1"/>
  <c r="G48" i="1"/>
  <c r="G47" i="1"/>
  <c r="G46" i="1"/>
  <c r="G248" i="1"/>
  <c r="G45" i="1"/>
  <c r="G269" i="1"/>
  <c r="G39" i="1"/>
  <c r="G37" i="1"/>
  <c r="G36" i="1"/>
  <c r="G34" i="1"/>
  <c r="G354" i="1"/>
  <c r="G260" i="1"/>
  <c r="G29" i="1"/>
  <c r="G26" i="1"/>
  <c r="G24" i="1"/>
  <c r="G23" i="1"/>
  <c r="G247" i="1"/>
  <c r="G19" i="1"/>
  <c r="G270" i="1"/>
  <c r="G261" i="1"/>
  <c r="G17" i="1"/>
  <c r="G14" i="1"/>
  <c r="G266" i="1"/>
  <c r="G11" i="1"/>
  <c r="G10" i="1"/>
  <c r="G142" i="1" l="1"/>
  <c r="G135" i="1"/>
  <c r="H241" i="1"/>
  <c r="H232" i="1"/>
  <c r="H239" i="1"/>
  <c r="H233" i="1"/>
  <c r="H229" i="1"/>
  <c r="H236" i="1"/>
  <c r="H245" i="1"/>
  <c r="H238" i="1"/>
  <c r="H240" i="1"/>
  <c r="H224" i="1"/>
  <c r="H243" i="1"/>
  <c r="H234" i="1"/>
  <c r="H222" i="1"/>
  <c r="H227" i="1"/>
  <c r="H230" i="1"/>
  <c r="H225" i="1"/>
  <c r="H244" i="1"/>
  <c r="H237" i="1"/>
  <c r="H235" i="1"/>
  <c r="H221" i="1"/>
  <c r="H242" i="1"/>
  <c r="H223" i="1"/>
  <c r="H226" i="1"/>
  <c r="H231" i="1"/>
  <c r="H228" i="1"/>
  <c r="F358" i="1"/>
  <c r="H358" i="1" l="1"/>
  <c r="F269" i="1"/>
  <c r="H269" i="1" l="1"/>
  <c r="F259" i="1" l="1"/>
  <c r="H259" i="1" l="1"/>
  <c r="F275" i="1"/>
  <c r="H275" i="1" l="1"/>
  <c r="F261" i="1"/>
  <c r="H261" i="1" l="1"/>
  <c r="F36" i="1"/>
  <c r="H36" i="1" l="1"/>
  <c r="F247" i="1" l="1"/>
  <c r="F260" i="1" l="1"/>
  <c r="H260" i="1" l="1"/>
  <c r="F166" i="1"/>
  <c r="F252" i="1"/>
  <c r="F133" i="1"/>
  <c r="F48" i="1"/>
  <c r="H252" i="1" l="1"/>
  <c r="H133" i="1"/>
  <c r="H166" i="1"/>
  <c r="H48" i="1"/>
  <c r="F19" i="1"/>
  <c r="H19" i="1" l="1"/>
  <c r="F254" i="1" l="1"/>
  <c r="H254" i="1" l="1"/>
  <c r="F115" i="1"/>
  <c r="H115" i="1" l="1"/>
  <c r="F163" i="1" l="1"/>
  <c r="F138" i="1"/>
  <c r="F109" i="1"/>
  <c r="F87" i="1"/>
  <c r="F70" i="1"/>
  <c r="F69" i="1"/>
  <c r="F51" i="1"/>
  <c r="F50" i="1"/>
  <c r="H247" i="1"/>
  <c r="H109" i="1" l="1"/>
  <c r="H138" i="1"/>
  <c r="H87" i="1"/>
  <c r="H163" i="1"/>
  <c r="H51" i="1"/>
  <c r="H69" i="1"/>
  <c r="H50" i="1"/>
  <c r="H70" i="1"/>
  <c r="B2" i="1" l="1"/>
  <c r="N79" i="1" l="1"/>
  <c r="N149" i="1"/>
  <c r="N207" i="1"/>
  <c r="N32" i="1"/>
  <c r="N157" i="1"/>
  <c r="N178" i="1"/>
  <c r="N164" i="1"/>
  <c r="N18" i="1"/>
  <c r="N152" i="1"/>
  <c r="N160" i="1"/>
  <c r="N52" i="1"/>
  <c r="N197" i="1"/>
  <c r="N198" i="1"/>
  <c r="N53" i="1"/>
  <c r="N205" i="1"/>
  <c r="N30" i="1"/>
  <c r="N58" i="1"/>
  <c r="N31" i="1"/>
  <c r="N105" i="1"/>
  <c r="N28" i="1"/>
  <c r="N158" i="1"/>
  <c r="N175" i="1"/>
  <c r="N187" i="1"/>
  <c r="N168" i="1"/>
  <c r="N189" i="1"/>
  <c r="N194" i="1"/>
  <c r="N190" i="1"/>
  <c r="N148" i="1"/>
  <c r="N33" i="1"/>
  <c r="N99" i="1"/>
  <c r="N98" i="1"/>
  <c r="N71" i="1"/>
  <c r="N42" i="1"/>
  <c r="N49" i="1"/>
  <c r="N65" i="1"/>
  <c r="N120" i="1"/>
  <c r="N107" i="1"/>
  <c r="N162" i="1"/>
  <c r="N97" i="1"/>
  <c r="N145" i="1"/>
  <c r="N167" i="1"/>
  <c r="N73" i="1"/>
  <c r="N106" i="1"/>
  <c r="N60" i="1"/>
  <c r="N192" i="1"/>
  <c r="N147" i="1"/>
  <c r="N210" i="1"/>
  <c r="N144" i="1"/>
  <c r="N125" i="1"/>
  <c r="N183" i="1"/>
  <c r="N113" i="1"/>
  <c r="N130" i="1"/>
  <c r="N93" i="1"/>
  <c r="N61" i="1"/>
  <c r="N212" i="1"/>
  <c r="N150" i="1"/>
  <c r="N63" i="1"/>
  <c r="N122" i="1"/>
  <c r="N165" i="1"/>
  <c r="N196" i="1"/>
  <c r="N27" i="1"/>
  <c r="N83" i="1"/>
  <c r="N177" i="1"/>
  <c r="N140" i="1"/>
  <c r="N41" i="1"/>
  <c r="N184" i="1"/>
  <c r="N40" i="1"/>
  <c r="N20" i="1"/>
  <c r="N138" i="1"/>
  <c r="N15" i="1"/>
  <c r="N100" i="1"/>
  <c r="N68" i="1"/>
  <c r="N86" i="1"/>
  <c r="N186" i="1"/>
  <c r="N185" i="1"/>
  <c r="N89" i="1"/>
  <c r="N84" i="1"/>
  <c r="N62" i="1"/>
  <c r="N90" i="1"/>
  <c r="N13" i="1"/>
  <c r="N78" i="1"/>
  <c r="N111" i="1"/>
  <c r="N12" i="1"/>
  <c r="N22" i="1"/>
  <c r="N64" i="1"/>
  <c r="N91" i="1"/>
  <c r="N124" i="1"/>
  <c r="N208" i="1"/>
  <c r="N137" i="1"/>
  <c r="N154" i="1"/>
  <c r="N155" i="1"/>
  <c r="N43" i="1"/>
  <c r="N191" i="1"/>
  <c r="N209" i="1"/>
  <c r="N170" i="1"/>
  <c r="N179" i="1"/>
  <c r="N134" i="1"/>
  <c r="N156" i="1"/>
  <c r="N82" i="1"/>
  <c r="N103" i="1"/>
  <c r="N81" i="1"/>
  <c r="N151" i="1"/>
  <c r="N75" i="1"/>
  <c r="N171" i="1"/>
  <c r="N9" i="1"/>
  <c r="N25" i="1"/>
  <c r="N161" i="1"/>
  <c r="N77" i="1"/>
  <c r="N182" i="1"/>
  <c r="N181" i="1"/>
  <c r="N213" i="1"/>
  <c r="N59" i="1"/>
  <c r="N169" i="1"/>
  <c r="N153" i="1"/>
  <c r="N117" i="1"/>
  <c r="N119" i="1"/>
  <c r="N114" i="1"/>
  <c r="N92" i="1"/>
  <c r="N95" i="1"/>
  <c r="N80" i="1"/>
  <c r="N54" i="1"/>
  <c r="N55" i="1"/>
  <c r="N35" i="1"/>
  <c r="N16" i="1"/>
  <c r="N36" i="1"/>
  <c r="N133" i="1"/>
  <c r="N166" i="1"/>
  <c r="N19" i="1"/>
  <c r="N48" i="1"/>
  <c r="N115" i="1"/>
  <c r="N163" i="1"/>
  <c r="N109" i="1"/>
  <c r="N87" i="1"/>
  <c r="N70" i="1"/>
  <c r="N69" i="1"/>
  <c r="N50" i="1"/>
  <c r="N51" i="1"/>
  <c r="N211" i="1"/>
  <c r="N201" i="1"/>
  <c r="N202" i="1"/>
  <c r="N200" i="1"/>
  <c r="N195" i="1"/>
  <c r="N193" i="1"/>
  <c r="N176" i="1"/>
  <c r="N180" i="1"/>
  <c r="N174" i="1"/>
  <c r="N172" i="1"/>
  <c r="N159" i="1"/>
  <c r="N143" i="1"/>
  <c r="N141" i="1"/>
  <c r="N142" i="1"/>
  <c r="N136" i="1"/>
  <c r="N135" i="1"/>
  <c r="N123" i="1"/>
  <c r="N116" i="1"/>
  <c r="N110" i="1"/>
  <c r="N112" i="1"/>
  <c r="N108" i="1"/>
  <c r="N104" i="1"/>
  <c r="N67" i="1"/>
  <c r="N76" i="1"/>
  <c r="N45" i="1"/>
  <c r="N66" i="1"/>
  <c r="N47" i="1"/>
  <c r="N39" i="1"/>
  <c r="N37" i="1"/>
  <c r="N29" i="1"/>
  <c r="N24" i="1"/>
  <c r="N26" i="1"/>
  <c r="N23" i="1"/>
  <c r="N14" i="1"/>
  <c r="N17" i="1"/>
  <c r="N11" i="1"/>
  <c r="N10" i="1"/>
  <c r="F211" i="1" l="1"/>
  <c r="F206" i="1"/>
  <c r="F204" i="1"/>
  <c r="F203" i="1"/>
  <c r="F202" i="1"/>
  <c r="F201" i="1"/>
  <c r="F200" i="1"/>
  <c r="F199" i="1"/>
  <c r="F195" i="1"/>
  <c r="F193" i="1"/>
  <c r="F360" i="1"/>
  <c r="F255" i="1"/>
  <c r="F321" i="1"/>
  <c r="F188" i="1"/>
  <c r="F369" i="1"/>
  <c r="F180" i="1"/>
  <c r="F176" i="1"/>
  <c r="F174" i="1"/>
  <c r="F173" i="1"/>
  <c r="F172" i="1"/>
  <c r="F281" i="1"/>
  <c r="F357" i="1"/>
  <c r="F159" i="1"/>
  <c r="F271" i="1"/>
  <c r="F253" i="1"/>
  <c r="F267" i="1"/>
  <c r="F143" i="1"/>
  <c r="F142" i="1"/>
  <c r="F141" i="1"/>
  <c r="F139" i="1"/>
  <c r="F136" i="1"/>
  <c r="F135" i="1"/>
  <c r="F289" i="1"/>
  <c r="F132" i="1"/>
  <c r="F131" i="1"/>
  <c r="F274" i="1"/>
  <c r="F127" i="1"/>
  <c r="F126" i="1"/>
  <c r="F123" i="1"/>
  <c r="F251" i="1"/>
  <c r="F320" i="1"/>
  <c r="F277" i="1"/>
  <c r="F116" i="1"/>
  <c r="F112" i="1"/>
  <c r="F110" i="1"/>
  <c r="F108" i="1"/>
  <c r="F335" i="1"/>
  <c r="F104" i="1"/>
  <c r="F102" i="1"/>
  <c r="F101" i="1"/>
  <c r="F96" i="1"/>
  <c r="H96" i="1" s="1"/>
  <c r="F94" i="1"/>
  <c r="F88" i="1"/>
  <c r="F85" i="1"/>
  <c r="F301" i="1"/>
  <c r="F307" i="1"/>
  <c r="F76" i="1"/>
  <c r="F67" i="1"/>
  <c r="F66" i="1"/>
  <c r="F57" i="1"/>
  <c r="F56" i="1"/>
  <c r="F47" i="1"/>
  <c r="F46" i="1"/>
  <c r="F248" i="1"/>
  <c r="F45" i="1"/>
  <c r="F39" i="1"/>
  <c r="F37" i="1"/>
  <c r="F34" i="1"/>
  <c r="F354" i="1"/>
  <c r="F29" i="1"/>
  <c r="F26" i="1"/>
  <c r="F24" i="1"/>
  <c r="F23" i="1"/>
  <c r="F270" i="1"/>
  <c r="F17" i="1"/>
  <c r="F14" i="1"/>
  <c r="F266" i="1"/>
  <c r="F11" i="1"/>
  <c r="F10" i="1"/>
  <c r="H211" i="1" l="1"/>
  <c r="H206" i="1"/>
  <c r="H204" i="1"/>
  <c r="H203" i="1"/>
  <c r="H202" i="1"/>
  <c r="H201" i="1"/>
  <c r="H200" i="1"/>
  <c r="H199" i="1"/>
  <c r="H195" i="1"/>
  <c r="H193" i="1"/>
  <c r="H360" i="1"/>
  <c r="H255" i="1"/>
  <c r="H321" i="1"/>
  <c r="H188" i="1"/>
  <c r="H369" i="1"/>
  <c r="H180" i="1"/>
  <c r="H176" i="1"/>
  <c r="H174" i="1"/>
  <c r="H173" i="1"/>
  <c r="H172" i="1"/>
  <c r="H281" i="1"/>
  <c r="H357" i="1"/>
  <c r="H159" i="1"/>
  <c r="H271" i="1"/>
  <c r="H253" i="1"/>
  <c r="H267" i="1"/>
  <c r="H143" i="1"/>
  <c r="H142" i="1"/>
  <c r="H141" i="1"/>
  <c r="H139" i="1"/>
  <c r="H136" i="1"/>
  <c r="H135" i="1"/>
  <c r="H289" i="1"/>
  <c r="H132" i="1"/>
  <c r="H131" i="1"/>
  <c r="H274" i="1"/>
  <c r="H127" i="1"/>
  <c r="H126" i="1"/>
  <c r="H123" i="1"/>
  <c r="H251" i="1"/>
  <c r="H320" i="1"/>
  <c r="H277" i="1"/>
  <c r="H116" i="1"/>
  <c r="H112" i="1"/>
  <c r="H110" i="1"/>
  <c r="H108" i="1"/>
  <c r="H335" i="1"/>
  <c r="H104" i="1"/>
  <c r="H102" i="1"/>
  <c r="H101" i="1"/>
  <c r="H94" i="1"/>
  <c r="H88" i="1"/>
  <c r="H85" i="1"/>
  <c r="H301" i="1"/>
  <c r="H307" i="1"/>
  <c r="H76" i="1"/>
  <c r="H67" i="1"/>
  <c r="H66" i="1"/>
  <c r="H57" i="1"/>
  <c r="H56" i="1"/>
  <c r="H47" i="1"/>
  <c r="H46" i="1"/>
  <c r="H248" i="1"/>
  <c r="H45" i="1"/>
  <c r="H39" i="1"/>
  <c r="H37" i="1"/>
  <c r="H34" i="1"/>
  <c r="H354" i="1"/>
  <c r="H24" i="1"/>
  <c r="H23" i="1"/>
  <c r="H270" i="1"/>
  <c r="H17" i="1"/>
  <c r="H14" i="1"/>
  <c r="H266" i="1"/>
  <c r="H11" i="1"/>
  <c r="H29" i="1" l="1"/>
  <c r="H26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K13" authorId="0" shapeId="0" xr:uid="{EBCDACD1-1744-4360-8310-6119307B4854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9" authorId="0" shapeId="0" xr:uid="{274CED18-8FE0-4073-B077-48B22E9B6845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22" authorId="0" shapeId="0" xr:uid="{4E22507B-1233-4081-A279-7EF28CB36AD2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J30" authorId="0" shapeId="0" xr:uid="{C825C335-4DD6-4BF0-8DF6-5D5A567DFD2E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10"/>
            <rFont val="Arial Black"/>
            <family val="2"/>
          </rPr>
          <t>TRAE NIVEL 14 DESDE CESFAM SANTA ANITA COMUNA LO PRADO</t>
        </r>
      </text>
    </comment>
    <comment ref="K42" authorId="0" shapeId="0" xr:uid="{3A71FC7D-65F3-46F8-B76D-DE157EE82234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43" authorId="0" shapeId="0" xr:uid="{DBEF5A73-A340-46E7-977F-7DA68273AD9D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48" authorId="0" shapeId="0" xr:uid="{82E4436E-AD53-4868-B6A5-B771BB08C7F5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58" authorId="0" shapeId="0" xr:uid="{07694032-2C6F-4152-A535-23347BAC5ABD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59" authorId="0" shapeId="0" xr:uid="{9102F399-73C0-45B1-84E4-46EB94893417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62" authorId="0" shapeId="0" xr:uid="{4794C028-929B-4FF0-BCC8-C271158AF9A0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68" authorId="0" shapeId="0" xr:uid="{8CE65302-9D25-4AEF-882E-9EA050A6AE27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MANTIENE NIVEL11 QUE TRAE DESDE SAN RAMON.</t>
        </r>
      </text>
    </comment>
    <comment ref="K78" authorId="0" shapeId="0" xr:uid="{84312D6A-B96E-429C-BDBF-8BF8BC1CB413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84" authorId="0" shapeId="0" xr:uid="{42E8D2B2-11BD-469A-B730-F3AAFAF5E2F2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89" authorId="0" shapeId="0" xr:uid="{AB633589-F9D9-4F58-A622-C6E2EF6A36B6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98" authorId="0" shapeId="0" xr:uid="{C5082390-A6DE-4389-9881-EF7A28283156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03" authorId="0" shapeId="0" xr:uid="{33DA16CE-FB98-446C-984A-20D80EF09212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07" authorId="0" shapeId="0" xr:uid="{C3290010-02A2-47BB-B054-8BE614AC1445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AGOSTO 
2025</t>
        </r>
      </text>
    </comment>
    <comment ref="K109" authorId="0" shapeId="0" xr:uid="{C77B1887-AA32-4952-8CAB-76434C3F12B9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11" authorId="0" shapeId="0" xr:uid="{124E68FA-8A28-4484-97EA-F12B752C763B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22" authorId="0" shapeId="0" xr:uid="{7BF7A9E2-E845-4F2C-85A2-806A0DF38BD6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38" authorId="0" shapeId="0" xr:uid="{6F5E7C47-A44A-46C5-9AAE-846401839112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45" authorId="0" shapeId="0" xr:uid="{40DCD406-59D0-4AEA-A1FD-D9363042B76B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AGOSTO 
2025</t>
        </r>
      </text>
    </comment>
    <comment ref="K151" authorId="0" shapeId="0" xr:uid="{D9849574-8786-4B59-A9B4-6C55E95640EB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54" authorId="0" shapeId="0" xr:uid="{DEF55E49-F2D3-472E-80D7-62DF20987A71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59" authorId="0" shapeId="0" xr:uid="{EF31991C-CAE8-43A4-B017-F0752BABAD3F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63" authorId="0" shapeId="0" xr:uid="{F79A22F7-1A4F-49CB-9B3D-99D0817CF7D1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64" authorId="0" shapeId="0" xr:uid="{E0B0BE02-1A65-4938-BCC1-7F9A49A9BC51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69" authorId="0" shapeId="0" xr:uid="{A9E8A33F-6C12-4A58-A90F-CA2011775B3D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71" authorId="0" shapeId="0" xr:uid="{FE3F7333-B5A5-4863-9267-576A63700436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79" authorId="0" shapeId="0" xr:uid="{4F2047D4-5625-451A-87DC-B3D33D6035CF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80" authorId="0" shapeId="0" xr:uid="{FE0D00D4-6F40-4F21-989D-9649C9DFE1B1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84" authorId="0" shapeId="0" xr:uid="{4B2776D9-A9D9-45A6-B97C-D9A741EABE80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85" authorId="0" shapeId="0" xr:uid="{72A5912B-0280-4D95-9A45-61134B8A9B21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89" authorId="0" shapeId="0" xr:uid="{1A8A31F7-451B-4925-8349-AEE528CB3F9A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AGOSTO 
2025</t>
        </r>
      </text>
    </comment>
    <comment ref="K219" authorId="0" shapeId="0" xr:uid="{A5299B2F-91E1-4DF0-9E32-773640C3A680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353" authorId="0" shapeId="0" xr:uid="{7F570348-C42E-46BA-B801-11C8D6128AD6}">
      <text>
        <r>
          <rPr>
            <b/>
            <sz val="9"/>
            <color indexed="10"/>
            <rFont val="Tahoma"/>
            <family val="2"/>
          </rPr>
          <t>Cambia por reconocimiento de capacitacion al inicio de la carrera</t>
        </r>
      </text>
    </comment>
  </commentList>
</comments>
</file>

<file path=xl/sharedStrings.xml><?xml version="1.0" encoding="utf-8"?>
<sst xmlns="http://schemas.openxmlformats.org/spreadsheetml/2006/main" count="1644" uniqueCount="520">
  <si>
    <t>BIENIOS RECONOCIDOS</t>
  </si>
  <si>
    <t>PUNTAJE POR BIENIO</t>
  </si>
  <si>
    <t>FUNCIONARIO</t>
  </si>
  <si>
    <t>TOTAL</t>
  </si>
  <si>
    <t>FECHA REC.</t>
  </si>
  <si>
    <t xml:space="preserve">PUNTAJE </t>
  </si>
  <si>
    <t>CAPACITACION</t>
  </si>
  <si>
    <t>NIVEL DE LA CARRERA</t>
  </si>
  <si>
    <t>ACOSTA BARRIOS MARIA</t>
  </si>
  <si>
    <t xml:space="preserve">ACEVEDO LAGOS MARLEN </t>
  </si>
  <si>
    <t>ACEVEDO LEIVA VICTOR</t>
  </si>
  <si>
    <t>AGUIRRE MUNIZAGA MARIA ISABEL</t>
  </si>
  <si>
    <t>ALTAMIRANO GALLO YOLANDA</t>
  </si>
  <si>
    <t>ARANEDA PEÑA RAYMOND</t>
  </si>
  <si>
    <t>ARAYA OROSTICA CRISTIAN ALEJ.</t>
  </si>
  <si>
    <t>ARREDONDO FARIAS EVELYN</t>
  </si>
  <si>
    <t>BAJAS SALAS LUCIA</t>
  </si>
  <si>
    <t>BARRERA OSORIO JORGE</t>
  </si>
  <si>
    <t>BERTI LASTARRIA LEONARDO</t>
  </si>
  <si>
    <t>BRUNA MORALES CARLOS</t>
  </si>
  <si>
    <t>CACERES RIOS MARIA</t>
  </si>
  <si>
    <t>CARCAMO ZAGAL DORCA</t>
  </si>
  <si>
    <t>CARVAJAL PEÑAILILLO ERICA</t>
  </si>
  <si>
    <t>CASTRO MOYA FRESIA</t>
  </si>
  <si>
    <t>COUBLE PASCUAL BARBARA</t>
  </si>
  <si>
    <t>CEPPI CARTAGENA ROSSANA</t>
  </si>
  <si>
    <t>CHAPARRO SUAREZ MARISOL</t>
  </si>
  <si>
    <t>CHAVEZ MILLAN SOLEDAD ANDREA</t>
  </si>
  <si>
    <t>CORVALAN QUINTANILLA MONICA</t>
  </si>
  <si>
    <t>CRISOSTOMO DIAZ GRACIELA</t>
  </si>
  <si>
    <t>DIAZ SOTOMAYOR KARINA</t>
  </si>
  <si>
    <t>DIAZ SANTANDER DAVID</t>
  </si>
  <si>
    <t>DOMENES MIRANDA  JACQUELINE</t>
  </si>
  <si>
    <t>FIERRO GOMEZ MARIA</t>
  </si>
  <si>
    <t>FREZ SEPULVEDA PAMELA</t>
  </si>
  <si>
    <t>GAJARDO GAJARDO BANGGIE</t>
  </si>
  <si>
    <t>GAJARDO LIZANA MARCELA</t>
  </si>
  <si>
    <t>GALAZ MIRANDA DANIELA</t>
  </si>
  <si>
    <t>GONZALEZ ARANEDA YENNY</t>
  </si>
  <si>
    <t>GUERRERO ALCALDE HUGO</t>
  </si>
  <si>
    <t>GUZMAN MOREL ANA</t>
  </si>
  <si>
    <t>HERNANDEZ LARA SILVIA</t>
  </si>
  <si>
    <t>IRRIBARRA KEIM KATHERINE</t>
  </si>
  <si>
    <t>ITURRA BAEZA CLAUDIA</t>
  </si>
  <si>
    <t>JARA HENRIQUEZ MONICA</t>
  </si>
  <si>
    <t>LAGOS CIFUENTES PATRICIA ALEJ.</t>
  </si>
  <si>
    <t>LEMMERMANN LARA SILVANA</t>
  </si>
  <si>
    <t>LIZAMA PEREZ LILIANA</t>
  </si>
  <si>
    <t>LOPEZ ESPINOZA DANIELA</t>
  </si>
  <si>
    <t>MALDONADO ARDIZZONI VERONICA</t>
  </si>
  <si>
    <t xml:space="preserve">MATUS LINEROS MARIA </t>
  </si>
  <si>
    <t>MEZA CANCINO ELIZABETH</t>
  </si>
  <si>
    <t>MIRANDA SANDOVAL MARICEL</t>
  </si>
  <si>
    <t>MONTECINOS OSORIO MARIA</t>
  </si>
  <si>
    <t>MORALES LIZAMA BEATRIZ</t>
  </si>
  <si>
    <t>MOYA VERA VINKA</t>
  </si>
  <si>
    <t>MUNDACA SOLIS MARIA</t>
  </si>
  <si>
    <t>MUÑOZ GRANADINO LILY</t>
  </si>
  <si>
    <t>MUÑOZ PADILLA XIMENA</t>
  </si>
  <si>
    <t>MUÑOZ VALDES ESTEBAN</t>
  </si>
  <si>
    <t>NAVARRETE NEGRETE MANUEL A.</t>
  </si>
  <si>
    <t>NAULIN DIAZ FRANCISCO</t>
  </si>
  <si>
    <t>NAVARRO VERGARA AMANDA</t>
  </si>
  <si>
    <t>OLIVARES VILLALON YEMILET</t>
  </si>
  <si>
    <t>ORELLANA ACEVEDO DANIELA</t>
  </si>
  <si>
    <t>ORMEÑO GONZALEZ MITZI</t>
  </si>
  <si>
    <t>ORTEGA RUIZ GASTON</t>
  </si>
  <si>
    <t>PEREZ ESCOBAR FRANCISCA</t>
  </si>
  <si>
    <t>PEREZ OCAMPO LUISA</t>
  </si>
  <si>
    <t>PINOCHET URZUA CLAUDIA</t>
  </si>
  <si>
    <t>QUEZADA MERINO MARIA</t>
  </si>
  <si>
    <t>REYES SAN MARTIN ISMAEL</t>
  </si>
  <si>
    <t>RODRIGUEZ MURGA LUIS PAUL</t>
  </si>
  <si>
    <t>RODRIGUEZ GUZMAN ERIKA</t>
  </si>
  <si>
    <t>ROJAS CACERES KARINA</t>
  </si>
  <si>
    <t>ROMAN ESCANILLA CLAUDIA</t>
  </si>
  <si>
    <t>SALAZAR RAMOS NATALIA</t>
  </si>
  <si>
    <t>SEPULVEDA TORRES ROSA</t>
  </si>
  <si>
    <t>SEVERINO CARRASCO PATRICIA</t>
  </si>
  <si>
    <t>SILVA CUEVAS ERICA</t>
  </si>
  <si>
    <t>SOBARZO MUÑOZ MARIA</t>
  </si>
  <si>
    <t>TOBAR GUERRERO VERONICA</t>
  </si>
  <si>
    <t>TOBAR LOPEZ VIVIANA</t>
  </si>
  <si>
    <t>TORRES HURTADO EVELYN</t>
  </si>
  <si>
    <t>URRA AVILA GUILLERMO</t>
  </si>
  <si>
    <t>VALDIVIA BARRAZA GUILLERMO</t>
  </si>
  <si>
    <t>VARELA GONZALEZ LUIS</t>
  </si>
  <si>
    <t>VARGAS ARGEL FIDELIA</t>
  </si>
  <si>
    <t>VARGAS MADARIAGA CONSTANZA</t>
  </si>
  <si>
    <t>VERA MONARDES JEANNETTE</t>
  </si>
  <si>
    <t>VERGARA CONCHA HUMBERTO</t>
  </si>
  <si>
    <t>VICENCIO ORELLANA MARIA</t>
  </si>
  <si>
    <t>ZAMORA HERNANDEZ GABRIELA</t>
  </si>
  <si>
    <t>01.07.06</t>
  </si>
  <si>
    <t>01.01.13</t>
  </si>
  <si>
    <t>01.10.2.000</t>
  </si>
  <si>
    <t>01.01.08</t>
  </si>
  <si>
    <t>01.01.06</t>
  </si>
  <si>
    <t>13.07.98</t>
  </si>
  <si>
    <t>05.11.07</t>
  </si>
  <si>
    <t>01.07.12</t>
  </si>
  <si>
    <t>01.01.09</t>
  </si>
  <si>
    <t>01.03.2014</t>
  </si>
  <si>
    <t>12.09.14</t>
  </si>
  <si>
    <t>01.01.10</t>
  </si>
  <si>
    <t>13.11.95</t>
  </si>
  <si>
    <t>01.02.04</t>
  </si>
  <si>
    <t>18.05.12</t>
  </si>
  <si>
    <t>11.04.11</t>
  </si>
  <si>
    <t>01.07.08</t>
  </si>
  <si>
    <t>01.09.94</t>
  </si>
  <si>
    <t>01.04.13</t>
  </si>
  <si>
    <t>12.09.94</t>
  </si>
  <si>
    <t>01.10.88</t>
  </si>
  <si>
    <t>01.04.14</t>
  </si>
  <si>
    <t>01.01.2015</t>
  </si>
  <si>
    <t>01.10.10</t>
  </si>
  <si>
    <t>07.08.00</t>
  </si>
  <si>
    <t>01.12.12</t>
  </si>
  <si>
    <t>16.01.13</t>
  </si>
  <si>
    <t>15.05.07</t>
  </si>
  <si>
    <t>08.05.89</t>
  </si>
  <si>
    <t>01.03.88</t>
  </si>
  <si>
    <t>03.07.95</t>
  </si>
  <si>
    <t>06.04.88</t>
  </si>
  <si>
    <t>12.04.12</t>
  </si>
  <si>
    <t>12.06.12</t>
  </si>
  <si>
    <t>01.02.96</t>
  </si>
  <si>
    <t>01.08.2015</t>
  </si>
  <si>
    <t>01.07.01</t>
  </si>
  <si>
    <t>01.12.94</t>
  </si>
  <si>
    <t>03.01.90</t>
  </si>
  <si>
    <t>10.07.06</t>
  </si>
  <si>
    <t>24.08.12</t>
  </si>
  <si>
    <t>01.04.92</t>
  </si>
  <si>
    <t>01.04.99</t>
  </si>
  <si>
    <t>05.09.94</t>
  </si>
  <si>
    <t>01.03.90</t>
  </si>
  <si>
    <t>13.10.2008</t>
  </si>
  <si>
    <t>01.01.2014</t>
  </si>
  <si>
    <t>15.02.2014</t>
  </si>
  <si>
    <t>02.08.93</t>
  </si>
  <si>
    <t>01.10.2011</t>
  </si>
  <si>
    <t>01.01.14</t>
  </si>
  <si>
    <t>30.01.13</t>
  </si>
  <si>
    <t>08.10.12</t>
  </si>
  <si>
    <t>01.02.13</t>
  </si>
  <si>
    <t>25.01.05</t>
  </si>
  <si>
    <t>01.08.10</t>
  </si>
  <si>
    <t>01.07.2013</t>
  </si>
  <si>
    <t>07.04.88</t>
  </si>
  <si>
    <t>07.06.90</t>
  </si>
  <si>
    <t>01.06.95</t>
  </si>
  <si>
    <t>01.02.93</t>
  </si>
  <si>
    <t>07.11.08</t>
  </si>
  <si>
    <t>20.05.1992</t>
  </si>
  <si>
    <t>19.08.13</t>
  </si>
  <si>
    <t>01.02.2014</t>
  </si>
  <si>
    <t>10.03.14</t>
  </si>
  <si>
    <t>22.05.95</t>
  </si>
  <si>
    <t>14.07.90</t>
  </si>
  <si>
    <t>INGRESO</t>
  </si>
  <si>
    <t xml:space="preserve">E </t>
  </si>
  <si>
    <t>CAT.</t>
  </si>
  <si>
    <t>F</t>
  </si>
  <si>
    <t>B</t>
  </si>
  <si>
    <t>A</t>
  </si>
  <si>
    <t xml:space="preserve">C </t>
  </si>
  <si>
    <t>C</t>
  </si>
  <si>
    <t>D</t>
  </si>
  <si>
    <t>30 años</t>
  </si>
  <si>
    <t>30 AÑOS</t>
  </si>
  <si>
    <t>EDUARDO FREI M.</t>
  </si>
  <si>
    <t>FEC. PROX.RECONOC.</t>
  </si>
  <si>
    <t>ARELLANO POBLETE MARIA</t>
  </si>
  <si>
    <t>ARIAS ELGUETA MILENSKA</t>
  </si>
  <si>
    <t>CISTERNA VALDIVIA NATHALY</t>
  </si>
  <si>
    <t>COLELLA DURAN ANTONELLA</t>
  </si>
  <si>
    <t>DIAZ CATALAN IGNACIO</t>
  </si>
  <si>
    <t>ELGUETA ESTAY PILAR</t>
  </si>
  <si>
    <t>ELGUETA FLORES NESTOR</t>
  </si>
  <si>
    <t>GONZALEZ ALMORU ISABEL</t>
  </si>
  <si>
    <t>LEON VALENCIA SANDRA INES</t>
  </si>
  <si>
    <t>LOBOS SANTI JORGE</t>
  </si>
  <si>
    <t>MACEDA GARRIDO SUSANA</t>
  </si>
  <si>
    <t>MORENO CASTAÑEDA NATHALI</t>
  </si>
  <si>
    <t>MUÑOZ MIRANDA PAMELA</t>
  </si>
  <si>
    <t>NUÑEZ GOMEZ ANDRES</t>
  </si>
  <si>
    <t>RAMIREZ RODRIGUEZ ALIRO</t>
  </si>
  <si>
    <t>URZUA OLIVARES GUSTAVO</t>
  </si>
  <si>
    <t>PUNTAJE X BIENIOS</t>
  </si>
  <si>
    <t>PUNTAJE CAPACITACION REC.</t>
  </si>
  <si>
    <t>11.08.14</t>
  </si>
  <si>
    <t xml:space="preserve"> </t>
  </si>
  <si>
    <t>ALFARO CARCAMO DANILO DAVID</t>
  </si>
  <si>
    <t>LEON VALENCIA AMANDA VERONICA</t>
  </si>
  <si>
    <t>MADARIAGA CAMBLOR NICOLE</t>
  </si>
  <si>
    <t>LOZANO RODRIGUEZ ALVARO</t>
  </si>
  <si>
    <t>ROJAS LOPEZ LILIAN DEL CARMEN</t>
  </si>
  <si>
    <t>VIELMA FIGUEROA EVELYN</t>
  </si>
  <si>
    <t>LIZAMA CISTERNAS ELBA RAQUEL</t>
  </si>
  <si>
    <t>SEPT.2015-AGOSTO2016</t>
  </si>
  <si>
    <t>PEDRAZA DIAZ RUT</t>
  </si>
  <si>
    <t>PEDRAZA DIAZ RUTH</t>
  </si>
  <si>
    <t>PEREZ ARENAS ALEJANDRA</t>
  </si>
  <si>
    <t>ARANGUIZ MORALES CATALINA</t>
  </si>
  <si>
    <t>CHAVEZ MILLAN MARCIA ELIZABETH</t>
  </si>
  <si>
    <t>DA SILVA FICANO GENESIS</t>
  </si>
  <si>
    <t>GARABITO ROMAN GIANNINA</t>
  </si>
  <si>
    <t>LEAL LEPE MARGARITA</t>
  </si>
  <si>
    <t>MUÑOZ QUILODRAN SANDRA</t>
  </si>
  <si>
    <t>PANTOJA DE PRADA VALENTIN</t>
  </si>
  <si>
    <t>REYES FAJARDO ALICIA</t>
  </si>
  <si>
    <t>REYES PIZARRO KARINA</t>
  </si>
  <si>
    <t>RIVAS ESCALONA CONSTANZA</t>
  </si>
  <si>
    <t>BUSTOS MICHAUD GUSTAVO P.</t>
  </si>
  <si>
    <t>VENEGAS CERDA FRANCISCA LUCIA</t>
  </si>
  <si>
    <t>SEPT.2016-AGOSTO 2017</t>
  </si>
  <si>
    <t>CARVAJAL CONCHA JIMENA DEL R.</t>
  </si>
  <si>
    <t>ALVAREZ LEON MARIA JOSE</t>
  </si>
  <si>
    <t>PARRA VEGA MARIELA ISABEL</t>
  </si>
  <si>
    <t>ECHEVERRIA LETELIER CLAUDIA</t>
  </si>
  <si>
    <t>PANTOJA DE PRADA VALENTINA</t>
  </si>
  <si>
    <t>2014-2015 Y REC.ANT.</t>
  </si>
  <si>
    <t>CATALA LOBO DIEGO</t>
  </si>
  <si>
    <t>CATALAN LOBO DIEGO</t>
  </si>
  <si>
    <t>SEPULVEDA INOSTROZA ANDREA CAROLINA</t>
  </si>
  <si>
    <t>BAJAS EDUARDO FREI M.</t>
  </si>
  <si>
    <t>SEPT.2017-AGOSTO 2018</t>
  </si>
  <si>
    <t>ESPINA RAMOS FELIPE IGNACIO</t>
  </si>
  <si>
    <t>ALLENDE CIFUENTES JAVIERA</t>
  </si>
  <si>
    <t>ARAYA ACEVEDO VIVIANA</t>
  </si>
  <si>
    <t>ARIAS BECERRA DANIELA</t>
  </si>
  <si>
    <t>CARDENAS GATICA EMILIO</t>
  </si>
  <si>
    <t>CONTRERAS CONTRERAS ALEJANDRA</t>
  </si>
  <si>
    <t>CONTRERAS VALDEBENITO JENNIFER</t>
  </si>
  <si>
    <t>DIAZ VIDAL CINDY</t>
  </si>
  <si>
    <t>ESPINOZA PIETROBONI CRISTOBAL</t>
  </si>
  <si>
    <t>FACUSSE SAAVEDRA PATRICIO</t>
  </si>
  <si>
    <t>FLORES COYA FERNANDA</t>
  </si>
  <si>
    <t>GONZALEZ ROSALES CAMILA</t>
  </si>
  <si>
    <t>HENRIQUEZ VALENCIA LORENA</t>
  </si>
  <si>
    <t>KHAN IMRAM</t>
  </si>
  <si>
    <t>LAGOS ROSALES ELBA PATRICIA</t>
  </si>
  <si>
    <t>MANCILLA VALENZUELA MARCELO</t>
  </si>
  <si>
    <t>MARABOLI AYALA OSVALDO</t>
  </si>
  <si>
    <t>MENDOZA CARPAVIREZ LENNY</t>
  </si>
  <si>
    <t>PEREZ OLIVOS SARA</t>
  </si>
  <si>
    <t>PROVOSTE GONZALEZ KARINA</t>
  </si>
  <si>
    <t>14.02.2005</t>
  </si>
  <si>
    <t>REBOLLEDO LABRIN JORGE</t>
  </si>
  <si>
    <t>RIVERA CLAROS MONICA</t>
  </si>
  <si>
    <t>SALAZAR VALENZUELA CRISTIAN</t>
  </si>
  <si>
    <t>SALGADO SCHULZ CARLOS</t>
  </si>
  <si>
    <t>ZURA CHULAK VALENTINA</t>
  </si>
  <si>
    <t>DE LA FUENTE ESPINOZA SEBASTIAN</t>
  </si>
  <si>
    <t>MUÑOZ ELGUETA RAMON</t>
  </si>
  <si>
    <t>FUENTES GONZALEZ JUAN PABLO</t>
  </si>
  <si>
    <t>RIOS ARAYA SERGIO MARIANO</t>
  </si>
  <si>
    <t>BALAZS RAMOS ARLEANA VANESSA</t>
  </si>
  <si>
    <t>POBLETE URBINA TIARE</t>
  </si>
  <si>
    <t>WILNER BERNARD</t>
  </si>
  <si>
    <t>FALENE LAKE DESIR</t>
  </si>
  <si>
    <t>SEPT.2018-AGOSTO 2019</t>
  </si>
  <si>
    <t>EXEDENTE</t>
  </si>
  <si>
    <t>RECONOCIDA</t>
  </si>
  <si>
    <t>ACOSTA ARREDONDO GLORIA DEL C.</t>
  </si>
  <si>
    <t xml:space="preserve">FACUSSE SAAVEDRA PATRICIO </t>
  </si>
  <si>
    <t>RODRIGUEZ CASTRO ORLIMAR NATALY</t>
  </si>
  <si>
    <t>SCHOLL MANDUJANO FELIPE</t>
  </si>
  <si>
    <t>GONZALEZ ASTORGA CRISTIAN ALEXIS</t>
  </si>
  <si>
    <t>PEREIRA OSES VICTOR ANTONIO</t>
  </si>
  <si>
    <t>MELO IBARRA NELLY</t>
  </si>
  <si>
    <t>01.08.92</t>
  </si>
  <si>
    <t>RECONOCIDO</t>
  </si>
  <si>
    <t>ACOSTA BARRIOS MARIA CECILIA</t>
  </si>
  <si>
    <t>ANTINAO LANDAETA VALERIA</t>
  </si>
  <si>
    <t>AVILA TORO CAMILA ANDREA</t>
  </si>
  <si>
    <t>CHACIN TRUELO ELIAS GUILLERMO</t>
  </si>
  <si>
    <t>CHACHIN TRUELO ELIAS GUILLERMO</t>
  </si>
  <si>
    <t>FLORES CHIQUE CARLOS ARTURO</t>
  </si>
  <si>
    <t>FLORES PALMA FRANCISCA CARMEN</t>
  </si>
  <si>
    <t>JADELL TORRES ANISETT CAROLINA</t>
  </si>
  <si>
    <t>NAVARRETE MANZANARES CARLA GRISELDA</t>
  </si>
  <si>
    <t>PEÑALOZA SOTO PAOLA NINOSKA</t>
  </si>
  <si>
    <t>RODRIGO CHAVEZ LUIS MIGUEL</t>
  </si>
  <si>
    <t>SALAZAR PEROT SILVANA JAVIERA</t>
  </si>
  <si>
    <t>TAPIA GAMBOA ABIGAIL ALEJANDRA</t>
  </si>
  <si>
    <t>YAÑEZ ALIAGA SOFIA INES</t>
  </si>
  <si>
    <t>PEREZ SALGADO JOSE MIGUEL</t>
  </si>
  <si>
    <t>CEPEDA PEÑA ANTONIO LEONARDO</t>
  </si>
  <si>
    <t>CONTRERAS GUTIERREZ DAMASO</t>
  </si>
  <si>
    <t>PEREZ OYARCE CYNTHIA B.</t>
  </si>
  <si>
    <t>ROJAS ARCOS VALENTINA MACARENA</t>
  </si>
  <si>
    <t>CONTRERAS GUTIERREZ DAMASO JOSE</t>
  </si>
  <si>
    <t>ROJAS AROS VALENTINA MACARENA</t>
  </si>
  <si>
    <t>BARAHONA HERNANDEZ DIEGO</t>
  </si>
  <si>
    <t>NILO CARDENAS HILDA ESTER</t>
  </si>
  <si>
    <t>ALVAREZ GUEVARA RAMON</t>
  </si>
  <si>
    <t>RETAMAL VALENZUELA MARCO</t>
  </si>
  <si>
    <t xml:space="preserve">DECRETO EN TRAMITE </t>
  </si>
  <si>
    <t>VILLALON PEREZ KARLA V.</t>
  </si>
  <si>
    <t>PASIVADO</t>
  </si>
  <si>
    <t>CORTES ROJAS KHRISS ISABEL</t>
  </si>
  <si>
    <t>ENERO-JUNIO 2020</t>
  </si>
  <si>
    <t>JULIO-DIC.2020</t>
  </si>
  <si>
    <t>MORALES CERONI SEBASTIAN JESUS</t>
  </si>
  <si>
    <t>GONZALEZ ARANEDA MILTON</t>
  </si>
  <si>
    <t>IBARRA BARNIQUE OSCAR ENRIQUE</t>
  </si>
  <si>
    <t>CAMBIA X CAPACITACION</t>
  </si>
  <si>
    <t>SALGADO SCHULZ CONSTANZA</t>
  </si>
  <si>
    <t>SALGADO SCHULZ CONSTANA</t>
  </si>
  <si>
    <t>CLEMENT MELISSA S.</t>
  </si>
  <si>
    <t>FIGUEROA ANDRADES ELIAS I.</t>
  </si>
  <si>
    <t>GONZALEZ POBLETE CARMEN</t>
  </si>
  <si>
    <t>LAGOS GAJARDO OLGA MABEL</t>
  </si>
  <si>
    <t>DIAZ ORELLANA PRISCILLA</t>
  </si>
  <si>
    <t>REQUENA SALOMON ARIANDY</t>
  </si>
  <si>
    <t>ENERO-JUNIO 2021</t>
  </si>
  <si>
    <t>ACEVEDO MERCADO FERNANDA</t>
  </si>
  <si>
    <t>ARIAS SPULER KARLA YANARA</t>
  </si>
  <si>
    <t>FUENTES MEDINA MAKARENA E.</t>
  </si>
  <si>
    <t>LOPEZ CAMACHO YESSICA M.</t>
  </si>
  <si>
    <t>MENDOZA RODRIGUEZ ANA K.</t>
  </si>
  <si>
    <t>PARKES NUÑEZ EINAR JORDAN</t>
  </si>
  <si>
    <t>AEDO SOTO IGNACIO JAVIER</t>
  </si>
  <si>
    <t>MORALES NAVARRO CAMILA</t>
  </si>
  <si>
    <t>GONZALEZ CONTRERAS ROSA VERONICA</t>
  </si>
  <si>
    <t>FUENZALIDA GATICA MACARENA PAZ</t>
  </si>
  <si>
    <t xml:space="preserve">ARDILES SILVA CONSTANZA </t>
  </si>
  <si>
    <t>DIAZ MUÑOZ ELVIRA CRISTINA</t>
  </si>
  <si>
    <t>DURAN RODRIGUEZ MARIA JOSE</t>
  </si>
  <si>
    <t>FRIAS TAPIA NICOLE MACARENA</t>
  </si>
  <si>
    <t>GARCES JARPA BARBARA DANIELA</t>
  </si>
  <si>
    <t>MUÑOZ OSORIO JAVIERA</t>
  </si>
  <si>
    <t>NEIRA VIVES MARIA EUGENIA</t>
  </si>
  <si>
    <t>NUÑEZ VALENZUELA CLAUDIA</t>
  </si>
  <si>
    <t>SANDOVAL GOMEZ CARLOS E.</t>
  </si>
  <si>
    <t>TORO ESPINOZA ISIS</t>
  </si>
  <si>
    <t>DARRIGRANDI PARRA ANAPAULA</t>
  </si>
  <si>
    <t>CASTRO NARVAEZ LUIS</t>
  </si>
  <si>
    <t>SANCHEZ AROCA DIEGO IVAN</t>
  </si>
  <si>
    <t>TOLEDO REINOSO CONSTANZA</t>
  </si>
  <si>
    <t>GARCIA MENDOZA LIXMARA</t>
  </si>
  <si>
    <t>JULIO-DIC. 2021</t>
  </si>
  <si>
    <t>HOLGUIN IRIARTE ANGELA</t>
  </si>
  <si>
    <t>ORREGO CELIS CARLOS ALBERTO</t>
  </si>
  <si>
    <t>SEPULVEDA MENDOZA BASTIAN</t>
  </si>
  <si>
    <t>BURGOS SILVA VALESKA</t>
  </si>
  <si>
    <t>LIZARDO JESUS ENRIQUE</t>
  </si>
  <si>
    <t>MOYA BERNAL EVELYN</t>
  </si>
  <si>
    <t>ALIAGA MEZA MARCELA DENIS</t>
  </si>
  <si>
    <t>SANDOVAL JORQUERA MARISELA</t>
  </si>
  <si>
    <t xml:space="preserve">PINO NORAMBUENA NICOLE </t>
  </si>
  <si>
    <t>E</t>
  </si>
  <si>
    <t xml:space="preserve">ENERO-JUNIO </t>
  </si>
  <si>
    <t>ALARCON ZAMBRANO MARIA JOSE</t>
  </si>
  <si>
    <t>ARAYA ARREDONDO VALENTINA</t>
  </si>
  <si>
    <t>DIAZ RODRIGUEZ YERKO A.</t>
  </si>
  <si>
    <t>PARODI LEPE BIANCA FRANCHESCA</t>
  </si>
  <si>
    <t>VALENZUELA JARA KARINA A.</t>
  </si>
  <si>
    <t>VALENZUELA JARA KARINA ANDREA</t>
  </si>
  <si>
    <t>ARAYA FUENTES ANGELA VICTORIA</t>
  </si>
  <si>
    <t>CASTRO AYALA JORDAN IGNACIO</t>
  </si>
  <si>
    <t>DIAZ GODOY IVANIA ESDIE</t>
  </si>
  <si>
    <t>LAZO QUEZADA ANTONIA RENATA</t>
  </si>
  <si>
    <t>MENDOZA RODRIGUEZ ANA KARINA</t>
  </si>
  <si>
    <t>SANCHEZ PERALTA ROMINA Y.</t>
  </si>
  <si>
    <t>YAÑEZ SALAZAR BARBARA C.</t>
  </si>
  <si>
    <t>CAVIERES MADARIAGA NATALIA</t>
  </si>
  <si>
    <t>MUÑOZ MELLADO VALERIA</t>
  </si>
  <si>
    <t>CASTRO AYALA MABEL ESTHER</t>
  </si>
  <si>
    <t>GONZALEZ ROJAS ELIZABETH P.</t>
  </si>
  <si>
    <t>OLIVERA MORA NICOLE ELIZABETH</t>
  </si>
  <si>
    <t>PIZARRO MORALES DENISSE</t>
  </si>
  <si>
    <t>SALAMANCA OLIVARES FABRICIO</t>
  </si>
  <si>
    <t>BARRIENTOS ARAVENA IVAN A.</t>
  </si>
  <si>
    <t>FLOR VIL FELISE</t>
  </si>
  <si>
    <t>PRIETO OLAZABAL VALERIA A.</t>
  </si>
  <si>
    <t>TOVAR TORRES LAURA M.</t>
  </si>
  <si>
    <t>MENDOZA HERRERA YESSENIA</t>
  </si>
  <si>
    <t>REYES INOSTROZA NICOLE G.</t>
  </si>
  <si>
    <t>DIAZ MUÑOZ TRINIDAD VALERIA</t>
  </si>
  <si>
    <t xml:space="preserve">JULIO-DICIEMBRE </t>
  </si>
  <si>
    <t>SILVA BENITEZ MATHIAS ALEJANDRO</t>
  </si>
  <si>
    <t>ZAPATA PEÑAILILLO FRANCISCO</t>
  </si>
  <si>
    <t>ARCE ARREDONDO ALBERTO</t>
  </si>
  <si>
    <t>DIAZ ENRIQUEZ JAVIERA ALEJANDRA</t>
  </si>
  <si>
    <t>GUTIERREZ LABRIN CATALINA</t>
  </si>
  <si>
    <t>IGLESIAS CASTILLO MARCELA</t>
  </si>
  <si>
    <t>LOPEZ PEREZ DANIELA JAVIERA</t>
  </si>
  <si>
    <t>MUÑOZ FUENTES VALENTINA</t>
  </si>
  <si>
    <t>PITRON GUERRA MANUEL RODRIGO</t>
  </si>
  <si>
    <t>RODRIGUEZ ABARCA STEFANIA</t>
  </si>
  <si>
    <t>SANCHEZ ALCAINO JAIME GONZALO</t>
  </si>
  <si>
    <t>VILLANUEVA VASQUEZ ARIANNE</t>
  </si>
  <si>
    <t>MORALES ESTAY CLAUDIA</t>
  </si>
  <si>
    <t>CAMPOS BENAVIDES CRISTOBAL</t>
  </si>
  <si>
    <t>ALVAREZ GUEVARA RAMON G.</t>
  </si>
  <si>
    <t>LOPEZ DODDIS ANDREA PATRICIA</t>
  </si>
  <si>
    <t>ORTIZ URRUTIA TATIANA A.</t>
  </si>
  <si>
    <t xml:space="preserve">HERRAZ GONZALEZ CAMILA </t>
  </si>
  <si>
    <t>MANRIQUEZ GONZALEZ DANIELA</t>
  </si>
  <si>
    <t>MATAMALA DONOSO MICHELLE</t>
  </si>
  <si>
    <t>PARRA ESCOBAR CARLA</t>
  </si>
  <si>
    <t>PALACIOS GOLER YANARA</t>
  </si>
  <si>
    <t>ROGAZY ALBORNOZ JACQUELINE</t>
  </si>
  <si>
    <t>PALMA FUENTES GERALDINE</t>
  </si>
  <si>
    <t>DEJEAS FONTT JENNIFER A.</t>
  </si>
  <si>
    <t>TAPIA VALENZUELA SEBASTIAN</t>
  </si>
  <si>
    <t>BRAVO PACHECO JOSE</t>
  </si>
  <si>
    <t>MORALES GONZALEZ LUIS JESUS</t>
  </si>
  <si>
    <t>ESPINOZA JIMENEZ BRENDA</t>
  </si>
  <si>
    <t xml:space="preserve">JULIO-AGOSTO </t>
  </si>
  <si>
    <t>SEPTIEMBRE-DICIEMBRE</t>
  </si>
  <si>
    <t>ENERO-AGOSTO</t>
  </si>
  <si>
    <t>ARAYA VERA FERNANDA ANDREA</t>
  </si>
  <si>
    <t>CASTILLO CONTRERAS PAULA A.</t>
  </si>
  <si>
    <t>GAVILAN NAVARRO HECTOR</t>
  </si>
  <si>
    <t>TRONCOSO ZUÑIGA JONATHAN</t>
  </si>
  <si>
    <t xml:space="preserve">TRONCOSO ZUÑIGA JONATHAN </t>
  </si>
  <si>
    <t>CERDA AGUILAR LAURA CRISTINA</t>
  </si>
  <si>
    <t>RIOS FERRADA FRANCISCO JAVIER</t>
  </si>
  <si>
    <t>PEREIRA  BARAHONA VALENTINA</t>
  </si>
  <si>
    <t>ARAVENA CONTRERAS ABRAHAM</t>
  </si>
  <si>
    <t>ORTUÑO DIAZ GERARDO</t>
  </si>
  <si>
    <t>GONZALEZ MEZA MYRIAM DEL CARMEN</t>
  </si>
  <si>
    <t>BRANTE TAPIA AMAPOLA A.</t>
  </si>
  <si>
    <t>ESPINOZA ALVAREZ GUSTAVO A.</t>
  </si>
  <si>
    <t>FUENTES AGUIRRE MAX ANTONIO</t>
  </si>
  <si>
    <t xml:space="preserve">MUÑOZ CASTAÑEDA MAGALY </t>
  </si>
  <si>
    <t>TRANAMIL DOMENES NOEMI</t>
  </si>
  <si>
    <t>VILCHES ANDRADE MATIAS NICOLAS</t>
  </si>
  <si>
    <t>BRITO VARGAS KATIA CONSTANZA</t>
  </si>
  <si>
    <t>FLORES MUÑOZ YIRELY F.</t>
  </si>
  <si>
    <t>PEREZ GALLEGOS JUAN</t>
  </si>
  <si>
    <t>POZO REYES ROXANA ANDREA</t>
  </si>
  <si>
    <t>REYES PANTOJA NALLO</t>
  </si>
  <si>
    <t>HERNANDEZ RODRIGUEZ CRISTIANA</t>
  </si>
  <si>
    <t>MARTINEZ VERGARA DENISSE</t>
  </si>
  <si>
    <t>LAZO CANDIA GEOVANNY</t>
  </si>
  <si>
    <t>REEMPLAZO</t>
  </si>
  <si>
    <t>ARAYA VERA FERNANDA</t>
  </si>
  <si>
    <t>CASTILLO REYES MARIA</t>
  </si>
  <si>
    <t>CERDA AGUILAR LAURA</t>
  </si>
  <si>
    <t>CRISOSTOMO AGUAYO CAMILA</t>
  </si>
  <si>
    <t xml:space="preserve">AVENDAÑO URRUTIA MARIA </t>
  </si>
  <si>
    <t>DIAZ RODRIGUEZ YERKO</t>
  </si>
  <si>
    <t>AGUILAR MANSILLA MATIAS A</t>
  </si>
  <si>
    <t>CHAVEZ PIZARRO PATRICIA E.</t>
  </si>
  <si>
    <t xml:space="preserve">  </t>
  </si>
  <si>
    <t>MANTIENE NIVEL</t>
  </si>
  <si>
    <t>BARAHONA BARAHONA ESTEPHANIE</t>
  </si>
  <si>
    <t>CEA HENRIQUEZ YASNA</t>
  </si>
  <si>
    <t>PASCUA GALVEZ ANGELA E.</t>
  </si>
  <si>
    <t>VASQUEZ VERA CONSTANZA</t>
  </si>
  <si>
    <t>CANDIA GONZALEZ BELEN E.</t>
  </si>
  <si>
    <t>ELIZONDO SEPULVEDA MARIA JOSE</t>
  </si>
  <si>
    <t>HINOJOSA CANGA ANTONIA P.</t>
  </si>
  <si>
    <t>CONCHA ESPINOZA CATALINA C.</t>
  </si>
  <si>
    <t>DE LA FUENTES ESPINOZA SOLEDAD</t>
  </si>
  <si>
    <t>DELGADO FERNANDEZ CAMILA</t>
  </si>
  <si>
    <t>PALMA GALAZ JAVIER ALEJANDRO</t>
  </si>
  <si>
    <t>SULBARAN REIRA JOSE LUIS</t>
  </si>
  <si>
    <t>CARDOZA CARDOZA KATHERINE</t>
  </si>
  <si>
    <t>SOZA SOTO CAROLA ALEJANDRA</t>
  </si>
  <si>
    <t>TORRES ACEVEDO JUAN MANUEL</t>
  </si>
  <si>
    <t>RIOS RUIZ FRANCESCA</t>
  </si>
  <si>
    <t>ORELLANA MERCADO FRANCISCA</t>
  </si>
  <si>
    <t>PEÑA ZAMORANO VICTORIA R.</t>
  </si>
  <si>
    <t>SANTANA FARIAS ROMINA</t>
  </si>
  <si>
    <t>PINOCHET MORALES BARBARA</t>
  </si>
  <si>
    <t>ROJAS VILLALOBOS VALENTINA</t>
  </si>
  <si>
    <t>FERNANDEZ JIMENEZ PAULA</t>
  </si>
  <si>
    <t>HERNANDEZ RODRIGUEZ CRISTINA</t>
  </si>
  <si>
    <t>BENAVIDES LEON AYLEEN</t>
  </si>
  <si>
    <t>JIMENEZ MENDEZ WENDY</t>
  </si>
  <si>
    <t>CUELLO SAGARDIA GERALDINE</t>
  </si>
  <si>
    <t>BRAVO LOZADA ANA KARINA</t>
  </si>
  <si>
    <t>VERGARA MIRANDA TOMAS</t>
  </si>
  <si>
    <t>BRAVO ADRIAZOLA GRACE ALEJANDRA</t>
  </si>
  <si>
    <t>CARREÑO VEGA JAVIERA CONSTANZA</t>
  </si>
  <si>
    <t>CASTILO CABRERA NICOL E.</t>
  </si>
  <si>
    <t>GEBAUER BRUNA MARIA IGNACIA</t>
  </si>
  <si>
    <t>MADRID VALDEBENITO SEBASTIAN</t>
  </si>
  <si>
    <t>MURILLO BEQUER SAIRE YADIR</t>
  </si>
  <si>
    <t>PARKES FLORES JAVIERA PAZ</t>
  </si>
  <si>
    <t>ULLOA MARTINEZ ROSA ELVIRA</t>
  </si>
  <si>
    <t>TRAE NIVEL 14</t>
  </si>
  <si>
    <t>CHIRINOS DE JOLLEY YELITZA</t>
  </si>
  <si>
    <t>COLLAO DIAZ MARICEL</t>
  </si>
  <si>
    <t>PINTO URREA NICOLAS</t>
  </si>
  <si>
    <t xml:space="preserve">VALDES FUENTES MARIA PAULINA </t>
  </si>
  <si>
    <t>ESPINOZA PEHUEN CLIO CATALINA</t>
  </si>
  <si>
    <t>PEREZ DE VALENZUELA BERTHC</t>
  </si>
  <si>
    <t>ALVAREZ CRUZ FELIPE ANTONIO</t>
  </si>
  <si>
    <t>ALVAREZ CRUZ FELIPE</t>
  </si>
  <si>
    <t>GUTIERREZ MARTINEZ PAMELA</t>
  </si>
  <si>
    <t>LANDEROS ALTAMIRANO SERGIO</t>
  </si>
  <si>
    <t>MEJIA ZUÑIGA GENESIS VALESKA</t>
  </si>
  <si>
    <t>SALAS CONTRERAS MATIAS</t>
  </si>
  <si>
    <t>ORREGO GARCIA MARIO</t>
  </si>
  <si>
    <t>24.07.1995</t>
  </si>
  <si>
    <t>RETAMAL RIQUELME CAROL ANDREA</t>
  </si>
  <si>
    <t>PINO FUENTES NACHLY M.</t>
  </si>
  <si>
    <t>SEPT.</t>
  </si>
  <si>
    <t>OCT.</t>
  </si>
  <si>
    <t>NOV</t>
  </si>
  <si>
    <t>DIC</t>
  </si>
  <si>
    <t>ENE.</t>
  </si>
  <si>
    <t>FEB.</t>
  </si>
  <si>
    <t>MAR</t>
  </si>
  <si>
    <t>ABR</t>
  </si>
  <si>
    <t>MAY</t>
  </si>
  <si>
    <t>JUN</t>
  </si>
  <si>
    <t>JUL</t>
  </si>
  <si>
    <t>AGO</t>
  </si>
  <si>
    <t>VILCHES GONZALEZ MARIA EUGENIA</t>
  </si>
  <si>
    <t>FLORES BULNES MARITZA A.</t>
  </si>
  <si>
    <t>PAMIES VILLALON 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</si>
</sst>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4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2060"/>
      <name val="Arial Black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 Black"/>
      <family val="2"/>
    </font>
    <font>
      <b/>
      <sz val="14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2060"/>
      <name val="Arial Rounded MT Bold"/>
      <family val="2"/>
    </font>
    <font>
      <b/>
      <sz val="14"/>
      <color rgb="FF002060"/>
      <name val="Arial Black"/>
      <family val="2"/>
    </font>
    <font>
      <b/>
      <sz val="16"/>
      <color rgb="FF002060"/>
      <name val="Calibri"/>
      <family val="2"/>
      <scheme val="minor"/>
    </font>
    <font>
      <b/>
      <sz val="16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0"/>
      <color rgb="FFFF0000"/>
      <name val="Arial Black"/>
      <family val="2"/>
    </font>
    <font>
      <b/>
      <sz val="11"/>
      <color rgb="FFFF0000"/>
      <name val="Cambria"/>
      <family val="1"/>
      <scheme val="major"/>
    </font>
    <font>
      <b/>
      <sz val="14"/>
      <color rgb="FFFF0000"/>
      <name val="Arial Black"/>
      <family val="2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i/>
      <sz val="12"/>
      <color indexed="10"/>
      <name val="Arial"/>
      <family val="2"/>
    </font>
    <font>
      <b/>
      <sz val="14"/>
      <color theme="1"/>
      <name val="Arial Black"/>
      <family val="2"/>
    </font>
    <font>
      <b/>
      <sz val="11"/>
      <color rgb="FFFF0000"/>
      <name val="Aharoni"/>
      <charset val="177"/>
    </font>
    <font>
      <b/>
      <sz val="16"/>
      <color rgb="FF002060"/>
      <name val="Stencil"/>
      <family val="5"/>
    </font>
    <font>
      <sz val="16"/>
      <color rgb="FF002060"/>
      <name val="Stencil"/>
      <family val="5"/>
    </font>
    <font>
      <b/>
      <sz val="16"/>
      <name val="Stencil"/>
      <family val="5"/>
    </font>
    <font>
      <b/>
      <sz val="16"/>
      <color rgb="FFFF0000"/>
      <name val="Arial Black"/>
      <family val="2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sz val="12"/>
      <color rgb="FF002060"/>
      <name val="Arial Black"/>
      <family val="2"/>
    </font>
    <font>
      <b/>
      <sz val="10"/>
      <name val="Arial"/>
      <family val="2"/>
    </font>
    <font>
      <b/>
      <sz val="11"/>
      <color rgb="FFFF0000"/>
      <name val="Berlin Sans FB"/>
      <family val="2"/>
    </font>
    <font>
      <b/>
      <sz val="11"/>
      <color theme="0"/>
      <name val="Aharoni"/>
      <charset val="177"/>
    </font>
    <font>
      <sz val="10"/>
      <color indexed="10"/>
      <name val="Arial Black"/>
      <family val="2"/>
    </font>
    <font>
      <b/>
      <sz val="11"/>
      <color rgb="FFFF0000"/>
      <name val="Arial Black"/>
      <family val="2"/>
    </font>
    <font>
      <b/>
      <sz val="14"/>
      <name val="Arial Black"/>
      <family val="2"/>
    </font>
    <font>
      <b/>
      <sz val="11"/>
      <color rgb="FFFF0000"/>
      <name val="Britannic Bold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28">
    <xf numFmtId="0" fontId="0" fillId="0" borderId="0" xfId="0"/>
    <xf numFmtId="0" fontId="5" fillId="0" borderId="0" xfId="0" applyFont="1"/>
    <xf numFmtId="0" fontId="12" fillId="0" borderId="0" xfId="0" applyFont="1"/>
    <xf numFmtId="0" fontId="7" fillId="3" borderId="1" xfId="1" applyFill="1" applyBorder="1"/>
    <xf numFmtId="0" fontId="9" fillId="3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3" borderId="0" xfId="0" applyFill="1"/>
    <xf numFmtId="164" fontId="11" fillId="3" borderId="1" xfId="1" applyNumberFormat="1" applyFont="1" applyFill="1" applyBorder="1" applyAlignment="1">
      <alignment horizontal="right"/>
    </xf>
    <xf numFmtId="0" fontId="8" fillId="3" borderId="1" xfId="1" applyFont="1" applyFill="1" applyBorder="1"/>
    <xf numFmtId="14" fontId="8" fillId="3" borderId="1" xfId="1" applyNumberFormat="1" applyFont="1" applyFill="1" applyBorder="1"/>
    <xf numFmtId="14" fontId="7" fillId="3" borderId="1" xfId="1" applyNumberFormat="1" applyFill="1" applyBorder="1"/>
    <xf numFmtId="14" fontId="11" fillId="3" borderId="1" xfId="1" applyNumberFormat="1" applyFont="1" applyFill="1" applyBorder="1" applyAlignment="1">
      <alignment horizontal="right"/>
    </xf>
    <xf numFmtId="164" fontId="11" fillId="3" borderId="6" xfId="1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5" borderId="1" xfId="0" applyFont="1" applyFill="1" applyBorder="1"/>
    <xf numFmtId="3" fontId="7" fillId="3" borderId="1" xfId="1" applyNumberFormat="1" applyFill="1" applyBorder="1"/>
    <xf numFmtId="0" fontId="1" fillId="7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4" fontId="14" fillId="3" borderId="1" xfId="1" applyNumberFormat="1" applyFont="1" applyFill="1" applyBorder="1" applyAlignment="1">
      <alignment horizontal="right"/>
    </xf>
    <xf numFmtId="0" fontId="16" fillId="6" borderId="1" xfId="0" applyFont="1" applyFill="1" applyBorder="1"/>
    <xf numFmtId="14" fontId="17" fillId="6" borderId="1" xfId="0" applyNumberFormat="1" applyFont="1" applyFill="1" applyBorder="1" applyAlignment="1">
      <alignment horizontal="center"/>
    </xf>
    <xf numFmtId="0" fontId="18" fillId="6" borderId="1" xfId="0" applyFont="1" applyFill="1" applyBorder="1"/>
    <xf numFmtId="0" fontId="19" fillId="6" borderId="2" xfId="0" applyFont="1" applyFill="1" applyBorder="1" applyAlignment="1">
      <alignment horizontal="center"/>
    </xf>
    <xf numFmtId="14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1" fillId="3" borderId="1" xfId="1" applyFont="1" applyFill="1" applyBorder="1" applyAlignment="1">
      <alignment horizontal="right"/>
    </xf>
    <xf numFmtId="0" fontId="22" fillId="0" borderId="0" xfId="0" applyFont="1"/>
    <xf numFmtId="2" fontId="6" fillId="3" borderId="1" xfId="0" applyNumberFormat="1" applyFont="1" applyFill="1" applyBorder="1"/>
    <xf numFmtId="0" fontId="1" fillId="10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7" fillId="2" borderId="0" xfId="0" applyFont="1" applyFill="1"/>
    <xf numFmtId="0" fontId="2" fillId="3" borderId="0" xfId="0" applyFont="1" applyFill="1" applyAlignment="1">
      <alignment horizontal="center"/>
    </xf>
    <xf numFmtId="0" fontId="28" fillId="6" borderId="2" xfId="0" applyFont="1" applyFill="1" applyBorder="1" applyAlignment="1">
      <alignment horizontal="center"/>
    </xf>
    <xf numFmtId="0" fontId="29" fillId="7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4" fontId="14" fillId="3" borderId="1" xfId="1" applyNumberFormat="1" applyFont="1" applyFill="1" applyBorder="1" applyAlignment="1">
      <alignment horizontal="right"/>
    </xf>
    <xf numFmtId="0" fontId="32" fillId="3" borderId="0" xfId="0" applyFont="1" applyFill="1" applyAlignment="1">
      <alignment horizontal="center"/>
    </xf>
    <xf numFmtId="0" fontId="10" fillId="8" borderId="2" xfId="0" applyFont="1" applyFill="1" applyBorder="1" applyAlignment="1">
      <alignment horizontal="center"/>
    </xf>
    <xf numFmtId="14" fontId="23" fillId="3" borderId="1" xfId="1" applyNumberFormat="1" applyFont="1" applyFill="1" applyBorder="1" applyAlignment="1">
      <alignment horizontal="right"/>
    </xf>
    <xf numFmtId="0" fontId="22" fillId="3" borderId="0" xfId="0" applyFont="1" applyFill="1"/>
    <xf numFmtId="0" fontId="10" fillId="2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27" fillId="3" borderId="0" xfId="0" applyFont="1" applyFill="1"/>
    <xf numFmtId="4" fontId="1" fillId="2" borderId="5" xfId="0" applyNumberFormat="1" applyFont="1" applyFill="1" applyBorder="1" applyAlignment="1">
      <alignment horizontal="center"/>
    </xf>
    <xf numFmtId="165" fontId="10" fillId="9" borderId="2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28" fillId="7" borderId="2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0" fontId="28" fillId="8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12" borderId="2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28" fillId="13" borderId="2" xfId="0" applyFont="1" applyFill="1" applyBorder="1" applyAlignment="1">
      <alignment horizontal="center"/>
    </xf>
    <xf numFmtId="0" fontId="28" fillId="10" borderId="2" xfId="0" applyFont="1" applyFill="1" applyBorder="1" applyAlignment="1">
      <alignment horizontal="center"/>
    </xf>
    <xf numFmtId="2" fontId="28" fillId="2" borderId="2" xfId="0" applyNumberFormat="1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8" fillId="9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7" fillId="15" borderId="1" xfId="1" applyFill="1" applyBorder="1"/>
    <xf numFmtId="0" fontId="9" fillId="15" borderId="1" xfId="1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2" fontId="6" fillId="15" borderId="1" xfId="0" applyNumberFormat="1" applyFont="1" applyFill="1" applyBorder="1"/>
    <xf numFmtId="0" fontId="34" fillId="15" borderId="1" xfId="0" applyFont="1" applyFill="1" applyBorder="1" applyAlignment="1">
      <alignment horizontal="center"/>
    </xf>
    <xf numFmtId="164" fontId="14" fillId="15" borderId="1" xfId="1" applyNumberFormat="1" applyFont="1" applyFill="1" applyBorder="1" applyAlignment="1">
      <alignment horizontal="right"/>
    </xf>
    <xf numFmtId="0" fontId="0" fillId="15" borderId="0" xfId="0" applyFill="1"/>
    <xf numFmtId="0" fontId="21" fillId="15" borderId="1" xfId="1" applyFont="1" applyFill="1" applyBorder="1" applyAlignment="1">
      <alignment horizontal="right"/>
    </xf>
    <xf numFmtId="0" fontId="8" fillId="15" borderId="1" xfId="1" applyFont="1" applyFill="1" applyBorder="1"/>
    <xf numFmtId="0" fontId="17" fillId="3" borderId="0" xfId="0" applyFont="1" applyFill="1" applyAlignment="1">
      <alignment horizontal="center"/>
    </xf>
    <xf numFmtId="0" fontId="32" fillId="9" borderId="2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2" fillId="9" borderId="1" xfId="0" applyFont="1" applyFill="1" applyBorder="1"/>
    <xf numFmtId="164" fontId="14" fillId="16" borderId="1" xfId="1" applyNumberFormat="1" applyFont="1" applyFill="1" applyBorder="1" applyAlignment="1">
      <alignment horizontal="right"/>
    </xf>
    <xf numFmtId="0" fontId="0" fillId="16" borderId="0" xfId="0" applyFill="1"/>
    <xf numFmtId="0" fontId="20" fillId="16" borderId="0" xfId="0" applyFont="1" applyFill="1" applyAlignment="1">
      <alignment horizontal="center"/>
    </xf>
    <xf numFmtId="0" fontId="7" fillId="16" borderId="1" xfId="1" applyFill="1" applyBorder="1"/>
    <xf numFmtId="0" fontId="9" fillId="16" borderId="1" xfId="1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2" fontId="6" fillId="16" borderId="1" xfId="0" applyNumberFormat="1" applyFont="1" applyFill="1" applyBorder="1"/>
    <xf numFmtId="0" fontId="34" fillId="16" borderId="1" xfId="0" applyFont="1" applyFill="1" applyBorder="1" applyAlignment="1">
      <alignment horizontal="center"/>
    </xf>
    <xf numFmtId="0" fontId="8" fillId="16" borderId="1" xfId="1" applyFont="1" applyFill="1" applyBorder="1"/>
    <xf numFmtId="14" fontId="8" fillId="16" borderId="1" xfId="1" applyNumberFormat="1" applyFont="1" applyFill="1" applyBorder="1"/>
    <xf numFmtId="14" fontId="23" fillId="16" borderId="1" xfId="1" applyNumberFormat="1" applyFont="1" applyFill="1" applyBorder="1" applyAlignment="1">
      <alignment horizontal="right"/>
    </xf>
    <xf numFmtId="0" fontId="22" fillId="16" borderId="0" xfId="0" applyFont="1" applyFill="1"/>
    <xf numFmtId="14" fontId="7" fillId="16" borderId="1" xfId="1" applyNumberFormat="1" applyFill="1" applyBorder="1"/>
    <xf numFmtId="3" fontId="3" fillId="16" borderId="1" xfId="0" applyNumberFormat="1" applyFont="1" applyFill="1" applyBorder="1" applyAlignment="1">
      <alignment horizontal="center"/>
    </xf>
    <xf numFmtId="164" fontId="23" fillId="16" borderId="1" xfId="1" applyNumberFormat="1" applyFont="1" applyFill="1" applyBorder="1" applyAlignment="1">
      <alignment horizontal="right"/>
    </xf>
    <xf numFmtId="164" fontId="14" fillId="16" borderId="6" xfId="1" applyNumberFormat="1" applyFont="1" applyFill="1" applyBorder="1" applyAlignment="1">
      <alignment horizontal="right"/>
    </xf>
    <xf numFmtId="0" fontId="29" fillId="3" borderId="0" xfId="0" applyFont="1" applyFill="1" applyAlignment="1">
      <alignment horizontal="center"/>
    </xf>
    <xf numFmtId="0" fontId="32" fillId="12" borderId="2" xfId="0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/>
    </xf>
    <xf numFmtId="14" fontId="15" fillId="16" borderId="1" xfId="1" applyNumberFormat="1" applyFont="1" applyFill="1" applyBorder="1" applyAlignment="1">
      <alignment horizontal="right"/>
    </xf>
    <xf numFmtId="164" fontId="14" fillId="3" borderId="6" xfId="1" applyNumberFormat="1" applyFont="1" applyFill="1" applyBorder="1" applyAlignment="1">
      <alignment horizontal="right"/>
    </xf>
    <xf numFmtId="0" fontId="40" fillId="3" borderId="0" xfId="0" applyFont="1" applyFill="1" applyAlignment="1">
      <alignment horizontal="center"/>
    </xf>
    <xf numFmtId="14" fontId="15" fillId="3" borderId="1" xfId="1" applyNumberFormat="1" applyFont="1" applyFill="1" applyBorder="1" applyAlignment="1">
      <alignment horizontal="right"/>
    </xf>
    <xf numFmtId="14" fontId="14" fillId="16" borderId="1" xfId="1" applyNumberFormat="1" applyFont="1" applyFill="1" applyBorder="1" applyAlignment="1">
      <alignment horizontal="right"/>
    </xf>
    <xf numFmtId="0" fontId="36" fillId="3" borderId="1" xfId="0" applyFont="1" applyFill="1" applyBorder="1" applyAlignment="1">
      <alignment horizontal="center"/>
    </xf>
    <xf numFmtId="0" fontId="42" fillId="2" borderId="0" xfId="0" applyFont="1" applyFill="1"/>
    <xf numFmtId="14" fontId="40" fillId="16" borderId="0" xfId="0" applyNumberFormat="1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28" fillId="8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28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7" fillId="14" borderId="1" xfId="0" applyFont="1" applyFill="1" applyBorder="1"/>
    <xf numFmtId="0" fontId="1" fillId="2" borderId="0" xfId="0" applyFont="1" applyFill="1" applyAlignment="1">
      <alignment horizontal="center"/>
    </xf>
    <xf numFmtId="0" fontId="32" fillId="11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37" fillId="17" borderId="1" xfId="0" applyFont="1" applyFill="1" applyBorder="1"/>
    <xf numFmtId="0" fontId="7" fillId="18" borderId="1" xfId="1" applyFill="1" applyBorder="1"/>
    <xf numFmtId="0" fontId="9" fillId="18" borderId="1" xfId="1" applyFont="1" applyFill="1" applyBorder="1" applyAlignment="1">
      <alignment horizontal="center"/>
    </xf>
    <xf numFmtId="14" fontId="7" fillId="18" borderId="1" xfId="1" applyNumberFormat="1" applyFill="1" applyBorder="1"/>
    <xf numFmtId="0" fontId="3" fillId="18" borderId="1" xfId="0" applyFont="1" applyFill="1" applyBorder="1" applyAlignment="1">
      <alignment horizontal="center"/>
    </xf>
    <xf numFmtId="2" fontId="6" fillId="18" borderId="1" xfId="0" applyNumberFormat="1" applyFont="1" applyFill="1" applyBorder="1"/>
    <xf numFmtId="0" fontId="34" fillId="18" borderId="1" xfId="0" applyFont="1" applyFill="1" applyBorder="1" applyAlignment="1">
      <alignment horizontal="center"/>
    </xf>
    <xf numFmtId="164" fontId="14" fillId="18" borderId="1" xfId="1" applyNumberFormat="1" applyFont="1" applyFill="1" applyBorder="1" applyAlignment="1">
      <alignment horizontal="right"/>
    </xf>
    <xf numFmtId="0" fontId="0" fillId="18" borderId="0" xfId="0" applyFill="1"/>
    <xf numFmtId="0" fontId="20" fillId="18" borderId="0" xfId="0" applyFont="1" applyFill="1" applyAlignment="1">
      <alignment horizontal="center"/>
    </xf>
    <xf numFmtId="14" fontId="8" fillId="18" borderId="1" xfId="1" applyNumberFormat="1" applyFont="1" applyFill="1" applyBorder="1"/>
    <xf numFmtId="0" fontId="37" fillId="2" borderId="1" xfId="0" applyFont="1" applyFill="1" applyBorder="1"/>
    <xf numFmtId="0" fontId="7" fillId="3" borderId="7" xfId="1" applyFill="1" applyBorder="1"/>
    <xf numFmtId="0" fontId="1" fillId="2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14" fontId="40" fillId="18" borderId="0" xfId="0" applyNumberFormat="1" applyFont="1" applyFill="1" applyAlignment="1">
      <alignment horizontal="center"/>
    </xf>
    <xf numFmtId="0" fontId="42" fillId="3" borderId="0" xfId="0" applyFont="1" applyFill="1"/>
    <xf numFmtId="14" fontId="15" fillId="18" borderId="1" xfId="1" applyNumberFormat="1" applyFont="1" applyFill="1" applyBorder="1" applyAlignment="1">
      <alignment horizontal="right"/>
    </xf>
    <xf numFmtId="0" fontId="45" fillId="2" borderId="0" xfId="0" applyFont="1" applyFill="1"/>
    <xf numFmtId="0" fontId="0" fillId="2" borderId="0" xfId="0" applyFill="1"/>
    <xf numFmtId="0" fontId="20" fillId="2" borderId="0" xfId="0" applyFont="1" applyFill="1" applyAlignment="1">
      <alignment horizontal="center"/>
    </xf>
    <xf numFmtId="0" fontId="7" fillId="2" borderId="1" xfId="1" applyFill="1" applyBorder="1"/>
    <xf numFmtId="0" fontId="9" fillId="2" borderId="1" xfId="1" applyFont="1" applyFill="1" applyBorder="1" applyAlignment="1">
      <alignment horizontal="center"/>
    </xf>
    <xf numFmtId="14" fontId="7" fillId="2" borderId="1" xfId="1" applyNumberFormat="1" applyFill="1" applyBorder="1"/>
    <xf numFmtId="0" fontId="3" fillId="2" borderId="1" xfId="0" applyFont="1" applyFill="1" applyBorder="1" applyAlignment="1">
      <alignment horizontal="center"/>
    </xf>
    <xf numFmtId="2" fontId="6" fillId="2" borderId="1" xfId="0" applyNumberFormat="1" applyFont="1" applyFill="1" applyBorder="1"/>
    <xf numFmtId="0" fontId="34" fillId="2" borderId="1" xfId="0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right"/>
    </xf>
    <xf numFmtId="0" fontId="8" fillId="18" borderId="1" xfId="1" applyFont="1" applyFill="1" applyBorder="1"/>
    <xf numFmtId="0" fontId="1" fillId="13" borderId="2" xfId="0" applyFont="1" applyFill="1" applyBorder="1" applyAlignment="1">
      <alignment horizontal="center"/>
    </xf>
    <xf numFmtId="0" fontId="37" fillId="13" borderId="1" xfId="0" applyFont="1" applyFill="1" applyBorder="1"/>
    <xf numFmtId="0" fontId="28" fillId="3" borderId="0" xfId="0" applyFont="1" applyFill="1" applyAlignment="1">
      <alignment horizontal="center"/>
    </xf>
    <xf numFmtId="164" fontId="23" fillId="3" borderId="1" xfId="1" applyNumberFormat="1" applyFont="1" applyFill="1" applyBorder="1" applyAlignment="1">
      <alignment horizontal="right"/>
    </xf>
    <xf numFmtId="0" fontId="41" fillId="18" borderId="1" xfId="1" applyFont="1" applyFill="1" applyBorder="1"/>
    <xf numFmtId="14" fontId="41" fillId="18" borderId="1" xfId="1" applyNumberFormat="1" applyFont="1" applyFill="1" applyBorder="1"/>
    <xf numFmtId="3" fontId="3" fillId="18" borderId="1" xfId="0" applyNumberFormat="1" applyFont="1" applyFill="1" applyBorder="1" applyAlignment="1">
      <alignment horizontal="center"/>
    </xf>
    <xf numFmtId="2" fontId="3" fillId="18" borderId="1" xfId="0" applyNumberFormat="1" applyFont="1" applyFill="1" applyBorder="1"/>
    <xf numFmtId="0" fontId="36" fillId="18" borderId="1" xfId="0" applyFont="1" applyFill="1" applyBorder="1" applyAlignment="1">
      <alignment horizontal="center"/>
    </xf>
    <xf numFmtId="14" fontId="14" fillId="18" borderId="1" xfId="1" applyNumberFormat="1" applyFont="1" applyFill="1" applyBorder="1" applyAlignment="1">
      <alignment horizontal="right"/>
    </xf>
    <xf numFmtId="0" fontId="46" fillId="2" borderId="2" xfId="0" applyFont="1" applyFill="1" applyBorder="1" applyAlignment="1">
      <alignment horizontal="center"/>
    </xf>
    <xf numFmtId="3" fontId="3" fillId="15" borderId="1" xfId="0" applyNumberFormat="1" applyFont="1" applyFill="1" applyBorder="1" applyAlignment="1">
      <alignment horizontal="center"/>
    </xf>
    <xf numFmtId="164" fontId="23" fillId="18" borderId="1" xfId="1" applyNumberFormat="1" applyFont="1" applyFill="1" applyBorder="1" applyAlignment="1">
      <alignment horizontal="right"/>
    </xf>
    <xf numFmtId="0" fontId="22" fillId="18" borderId="0" xfId="0" applyFont="1" applyFill="1"/>
    <xf numFmtId="0" fontId="24" fillId="18" borderId="1" xfId="1" applyFont="1" applyFill="1" applyBorder="1"/>
    <xf numFmtId="0" fontId="26" fillId="18" borderId="1" xfId="1" applyFont="1" applyFill="1" applyBorder="1" applyAlignment="1">
      <alignment horizontal="center"/>
    </xf>
    <xf numFmtId="14" fontId="24" fillId="18" borderId="1" xfId="1" applyNumberFormat="1" applyFont="1" applyFill="1" applyBorder="1"/>
    <xf numFmtId="0" fontId="25" fillId="18" borderId="1" xfId="0" applyFont="1" applyFill="1" applyBorder="1" applyAlignment="1">
      <alignment horizontal="center"/>
    </xf>
    <xf numFmtId="2" fontId="25" fillId="18" borderId="1" xfId="0" applyNumberFormat="1" applyFont="1" applyFill="1" applyBorder="1"/>
    <xf numFmtId="0" fontId="35" fillId="18" borderId="1" xfId="0" applyFont="1" applyFill="1" applyBorder="1" applyAlignment="1">
      <alignment horizontal="center"/>
    </xf>
    <xf numFmtId="14" fontId="23" fillId="18" borderId="1" xfId="1" applyNumberFormat="1" applyFont="1" applyFill="1" applyBorder="1" applyAlignment="1">
      <alignment horizontal="right"/>
    </xf>
    <xf numFmtId="14" fontId="23" fillId="18" borderId="1" xfId="1" applyNumberFormat="1" applyFont="1" applyFill="1" applyBorder="1"/>
    <xf numFmtId="0" fontId="43" fillId="19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28" fillId="14" borderId="2" xfId="0" applyFont="1" applyFill="1" applyBorder="1" applyAlignment="1">
      <alignment horizontal="center"/>
    </xf>
    <xf numFmtId="0" fontId="1" fillId="17" borderId="11" xfId="0" applyFont="1" applyFill="1" applyBorder="1" applyAlignment="1">
      <alignment horizontal="center"/>
    </xf>
    <xf numFmtId="0" fontId="32" fillId="2" borderId="1" xfId="0" applyFont="1" applyFill="1" applyBorder="1"/>
    <xf numFmtId="0" fontId="32" fillId="2" borderId="1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47" fillId="8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8" fillId="6" borderId="9" xfId="0" applyFont="1" applyFill="1" applyBorder="1" applyAlignment="1">
      <alignment horizontal="center"/>
    </xf>
    <xf numFmtId="0" fontId="28" fillId="6" borderId="10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/>
    </xf>
    <xf numFmtId="0" fontId="28" fillId="14" borderId="9" xfId="0" applyFont="1" applyFill="1" applyBorder="1" applyAlignment="1">
      <alignment horizontal="center"/>
    </xf>
    <xf numFmtId="0" fontId="28" fillId="14" borderId="10" xfId="0" applyFont="1" applyFill="1" applyBorder="1" applyAlignment="1">
      <alignment horizontal="center"/>
    </xf>
    <xf numFmtId="0" fontId="28" fillId="14" borderId="5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/>
    </xf>
    <xf numFmtId="0" fontId="1" fillId="14" borderId="12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1" fillId="14" borderId="14" xfId="0" applyFont="1" applyFill="1" applyBorder="1" applyAlignment="1">
      <alignment horizontal="center"/>
    </xf>
    <xf numFmtId="0" fontId="1" fillId="14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PARTAMENTO%20SALUD\Desktop\RECONO%20CAPA\respaldo%20bienios%20y%20capacitaciones%202024\BIENIOS%20SANTA%20ANSELMA%202024.xlsm" TargetMode="External"/><Relationship Id="rId1" Type="http://schemas.openxmlformats.org/officeDocument/2006/relationships/externalLinkPath" Target="file:///C:\Users\DEPARTAMENTO%20SALUD\Desktop\RECONO%20CAPA\respaldo%20bienios%20y%20capacitaciones%202024\BIENIOS%20SANTA%20ANSELMA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ESTION%20SALUD%20LA%20CISTERNA\BIENIOS\WEB\BIENIOS%20DEPTO.%20SALUD%202025%20web.xlsx" TargetMode="External"/><Relationship Id="rId1" Type="http://schemas.openxmlformats.org/officeDocument/2006/relationships/externalLinkPath" Target="BIENIOS%20DEPTO.%20SALUD%202025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ENIOS SANTA ANSELMA"/>
    </sheetNames>
    <sheetDataSet>
      <sheetData sheetId="0">
        <row r="1">
          <cell r="C1">
            <v>533.33000000000004</v>
          </cell>
        </row>
        <row r="2">
          <cell r="B2">
            <v>45666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ENIOS DEPARTAMENTO DE SALUD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</sheetPr>
  <dimension ref="A1:BU404"/>
  <sheetViews>
    <sheetView tabSelected="1" zoomScale="80" zoomScaleNormal="80" workbookViewId="0">
      <pane xSplit="4" ySplit="8" topLeftCell="E9" activePane="bottomRight" state="frozen"/>
      <selection pane="topRight" activeCell="F1" sqref="F1"/>
      <selection pane="bottomLeft" activeCell="A9" sqref="A9"/>
      <selection pane="bottomRight" activeCell="D6" sqref="D6"/>
    </sheetView>
  </sheetViews>
  <sheetFormatPr baseColWidth="10" defaultRowHeight="14.4" x14ac:dyDescent="0.3"/>
  <cols>
    <col min="1" max="1" width="6.88671875" bestFit="1" customWidth="1"/>
    <col min="2" max="2" width="41.109375" bestFit="1" customWidth="1"/>
    <col min="3" max="3" width="10.6640625" bestFit="1" customWidth="1"/>
    <col min="4" max="4" width="11.44140625" bestFit="1" customWidth="1"/>
    <col min="5" max="5" width="22.44140625" bestFit="1" customWidth="1"/>
    <col min="6" max="6" width="19.109375" bestFit="1" customWidth="1"/>
    <col min="7" max="7" width="26.77734375" bestFit="1" customWidth="1"/>
    <col min="8" max="8" width="13.5546875" bestFit="1" customWidth="1"/>
    <col min="9" max="9" width="19.6640625" bestFit="1" customWidth="1"/>
    <col min="10" max="10" width="4.33203125" bestFit="1" customWidth="1"/>
    <col min="11" max="11" width="27.44140625" bestFit="1" customWidth="1"/>
    <col min="12" max="12" width="19.44140625" bestFit="1" customWidth="1"/>
    <col min="13" max="13" width="3.44140625" customWidth="1"/>
    <col min="14" max="14" width="14.6640625" bestFit="1" customWidth="1"/>
    <col min="15" max="23" width="5.33203125" customWidth="1"/>
    <col min="26" max="26" width="41.109375" bestFit="1" customWidth="1"/>
    <col min="27" max="27" width="26.33203125" customWidth="1"/>
    <col min="28" max="28" width="28.88671875" customWidth="1"/>
    <col min="29" max="31" width="29.44140625" customWidth="1"/>
    <col min="32" max="32" width="16.5546875" customWidth="1"/>
    <col min="33" max="33" width="13.77734375" bestFit="1" customWidth="1"/>
    <col min="34" max="34" width="22.88671875" bestFit="1" customWidth="1"/>
    <col min="35" max="35" width="18.33203125" bestFit="1" customWidth="1"/>
    <col min="36" max="36" width="29.44140625" bestFit="1" customWidth="1"/>
    <col min="37" max="37" width="12.33203125" bestFit="1" customWidth="1"/>
    <col min="38" max="38" width="29.44140625" bestFit="1" customWidth="1"/>
    <col min="39" max="39" width="29.44140625" customWidth="1"/>
    <col min="40" max="40" width="29.44140625" bestFit="1" customWidth="1"/>
    <col min="41" max="41" width="12.33203125" bestFit="1" customWidth="1"/>
    <col min="42" max="42" width="29.44140625" bestFit="1" customWidth="1"/>
    <col min="43" max="43" width="29.44140625" customWidth="1"/>
    <col min="44" max="44" width="29.44140625" bestFit="1" customWidth="1"/>
    <col min="45" max="45" width="12.33203125" bestFit="1" customWidth="1"/>
    <col min="46" max="46" width="23.33203125" bestFit="1" customWidth="1"/>
    <col min="47" max="47" width="29.33203125" bestFit="1" customWidth="1"/>
    <col min="48" max="48" width="18.21875" bestFit="1" customWidth="1"/>
    <col min="49" max="49" width="12.33203125" customWidth="1"/>
    <col min="50" max="50" width="39" bestFit="1" customWidth="1"/>
    <col min="51" max="51" width="29.33203125" bestFit="1" customWidth="1"/>
    <col min="52" max="52" width="18.21875" bestFit="1" customWidth="1"/>
    <col min="53" max="53" width="12.33203125" customWidth="1"/>
    <col min="54" max="54" width="39" bestFit="1" customWidth="1"/>
    <col min="55" max="55" width="25.6640625" bestFit="1" customWidth="1"/>
    <col min="56" max="56" width="18.21875" bestFit="1" customWidth="1"/>
    <col min="57" max="70" width="12.33203125" customWidth="1"/>
    <col min="71" max="71" width="18.21875" bestFit="1" customWidth="1"/>
    <col min="72" max="72" width="12.33203125" customWidth="1"/>
    <col min="73" max="73" width="15.44140625" bestFit="1" customWidth="1"/>
  </cols>
  <sheetData>
    <row r="1" spans="1:73" ht="17.399999999999999" x14ac:dyDescent="0.3">
      <c r="B1" s="26" t="s">
        <v>1</v>
      </c>
      <c r="C1" s="28">
        <v>533.33000000000004</v>
      </c>
    </row>
    <row r="2" spans="1:73" ht="18" x14ac:dyDescent="0.35">
      <c r="B2" s="27">
        <f ca="1">TODAY()</f>
        <v>45987</v>
      </c>
    </row>
    <row r="4" spans="1:73" ht="15" thickBot="1" x14ac:dyDescent="0.35"/>
    <row r="5" spans="1:73" ht="21.6" thickBot="1" x14ac:dyDescent="0.55000000000000004">
      <c r="D5" t="s">
        <v>193</v>
      </c>
      <c r="AA5" s="30" t="s">
        <v>223</v>
      </c>
      <c r="AB5" s="30" t="s">
        <v>201</v>
      </c>
      <c r="AC5" s="31" t="s">
        <v>217</v>
      </c>
      <c r="AD5" s="31" t="s">
        <v>228</v>
      </c>
      <c r="AE5" s="31" t="s">
        <v>263</v>
      </c>
      <c r="AH5" s="48" t="s">
        <v>304</v>
      </c>
      <c r="AI5" s="48" t="s">
        <v>305</v>
      </c>
      <c r="AJ5" s="31" t="s">
        <v>193</v>
      </c>
      <c r="AL5" s="48" t="s">
        <v>318</v>
      </c>
      <c r="AM5" s="48" t="s">
        <v>344</v>
      </c>
      <c r="AN5" s="31" t="s">
        <v>193</v>
      </c>
      <c r="AP5" s="67" t="s">
        <v>355</v>
      </c>
      <c r="AQ5" s="67" t="s">
        <v>383</v>
      </c>
      <c r="AR5" s="31" t="s">
        <v>193</v>
      </c>
      <c r="AT5" s="67" t="s">
        <v>355</v>
      </c>
      <c r="AU5" s="67" t="s">
        <v>413</v>
      </c>
      <c r="AV5" s="31" t="s">
        <v>193</v>
      </c>
      <c r="AX5" s="67" t="s">
        <v>414</v>
      </c>
      <c r="AY5" s="67" t="s">
        <v>415</v>
      </c>
      <c r="AZ5" s="31" t="s">
        <v>193</v>
      </c>
      <c r="BB5" s="130" t="s">
        <v>414</v>
      </c>
      <c r="BC5" s="130" t="s">
        <v>415</v>
      </c>
      <c r="BD5" s="21"/>
      <c r="BG5" s="47" t="s">
        <v>505</v>
      </c>
      <c r="BH5" s="47" t="s">
        <v>506</v>
      </c>
      <c r="BI5" s="47" t="s">
        <v>507</v>
      </c>
      <c r="BJ5" s="47" t="s">
        <v>508</v>
      </c>
      <c r="BK5" s="203" t="s">
        <v>509</v>
      </c>
      <c r="BL5" s="203" t="s">
        <v>510</v>
      </c>
      <c r="BM5" s="203" t="s">
        <v>511</v>
      </c>
      <c r="BN5" s="203" t="s">
        <v>512</v>
      </c>
      <c r="BO5" s="203" t="s">
        <v>513</v>
      </c>
      <c r="BP5" s="203" t="s">
        <v>514</v>
      </c>
      <c r="BQ5" s="203" t="s">
        <v>515</v>
      </c>
      <c r="BR5" s="203" t="s">
        <v>516</v>
      </c>
    </row>
    <row r="6" spans="1:73" ht="21.6" thickBot="1" x14ac:dyDescent="0.55000000000000004">
      <c r="B6" s="29" t="s">
        <v>172</v>
      </c>
      <c r="D6" t="s">
        <v>450</v>
      </c>
      <c r="AA6" s="31" t="s">
        <v>4</v>
      </c>
      <c r="AB6" s="31" t="s">
        <v>4</v>
      </c>
      <c r="AC6" s="31" t="s">
        <v>4</v>
      </c>
      <c r="AD6" s="31" t="s">
        <v>4</v>
      </c>
      <c r="AE6" s="31" t="s">
        <v>4</v>
      </c>
      <c r="AH6" s="20"/>
      <c r="AI6" s="20"/>
      <c r="AJ6" s="47">
        <v>2020</v>
      </c>
      <c r="AL6" s="35"/>
      <c r="AM6" s="35"/>
      <c r="AN6" s="47">
        <v>2021</v>
      </c>
      <c r="AP6" s="68">
        <v>2022</v>
      </c>
      <c r="AQ6" s="68">
        <v>2022</v>
      </c>
      <c r="AR6" s="47">
        <v>2022</v>
      </c>
      <c r="AT6" s="68">
        <v>2023</v>
      </c>
      <c r="AU6" s="68">
        <v>2023</v>
      </c>
      <c r="AV6" s="47">
        <v>2023</v>
      </c>
      <c r="AX6" s="68">
        <v>2023</v>
      </c>
      <c r="AY6" s="68">
        <v>2024</v>
      </c>
      <c r="AZ6" s="47">
        <v>2024</v>
      </c>
      <c r="BB6" s="130">
        <v>2024</v>
      </c>
      <c r="BC6" s="130">
        <v>2025</v>
      </c>
      <c r="BD6" s="69">
        <v>2024</v>
      </c>
      <c r="BG6" s="210">
        <v>2025</v>
      </c>
      <c r="BH6" s="211"/>
      <c r="BI6" s="211"/>
      <c r="BJ6" s="212"/>
      <c r="BK6" s="213">
        <v>2026</v>
      </c>
      <c r="BL6" s="214"/>
      <c r="BM6" s="214"/>
      <c r="BN6" s="214"/>
      <c r="BO6" s="214"/>
      <c r="BP6" s="214"/>
      <c r="BQ6" s="214"/>
      <c r="BR6" s="215"/>
    </row>
    <row r="7" spans="1:73" ht="20.399999999999999" customHeight="1" thickBot="1" x14ac:dyDescent="0.4">
      <c r="AA7" s="32" t="s">
        <v>5</v>
      </c>
      <c r="AB7" s="32" t="s">
        <v>5</v>
      </c>
      <c r="AC7" s="32" t="s">
        <v>5</v>
      </c>
      <c r="AD7" s="32" t="s">
        <v>5</v>
      </c>
      <c r="AE7" s="32" t="s">
        <v>5</v>
      </c>
      <c r="AF7" s="32" t="s">
        <v>3</v>
      </c>
      <c r="AG7" s="32" t="s">
        <v>5</v>
      </c>
      <c r="AH7" s="22" t="s">
        <v>6</v>
      </c>
      <c r="AI7" s="22" t="s">
        <v>6</v>
      </c>
      <c r="AJ7" s="32" t="s">
        <v>5</v>
      </c>
      <c r="AK7" s="32" t="s">
        <v>5</v>
      </c>
      <c r="AL7" s="43" t="s">
        <v>6</v>
      </c>
      <c r="AM7" s="43" t="s">
        <v>6</v>
      </c>
      <c r="AN7" s="32" t="s">
        <v>5</v>
      </c>
      <c r="AO7" s="15" t="s">
        <v>5</v>
      </c>
      <c r="AP7" s="43" t="s">
        <v>6</v>
      </c>
      <c r="AQ7" s="43" t="s">
        <v>6</v>
      </c>
      <c r="AR7" s="32" t="s">
        <v>5</v>
      </c>
      <c r="AS7" s="15" t="s">
        <v>5</v>
      </c>
      <c r="AT7" s="43" t="s">
        <v>6</v>
      </c>
      <c r="AU7" s="43" t="s">
        <v>6</v>
      </c>
      <c r="AV7" s="32" t="s">
        <v>5</v>
      </c>
      <c r="AW7" s="15" t="s">
        <v>5</v>
      </c>
      <c r="AX7" s="43" t="s">
        <v>6</v>
      </c>
      <c r="AY7" s="43" t="s">
        <v>6</v>
      </c>
      <c r="AZ7" s="32" t="s">
        <v>5</v>
      </c>
      <c r="BA7" s="15" t="s">
        <v>5</v>
      </c>
      <c r="BB7" s="131" t="s">
        <v>6</v>
      </c>
      <c r="BC7" s="131" t="s">
        <v>6</v>
      </c>
      <c r="BD7" s="132" t="s">
        <v>5</v>
      </c>
      <c r="BE7" s="136" t="s">
        <v>5</v>
      </c>
      <c r="BG7" s="216" t="s">
        <v>6</v>
      </c>
      <c r="BH7" s="217"/>
      <c r="BI7" s="217"/>
      <c r="BJ7" s="218"/>
      <c r="BK7" s="219" t="s">
        <v>6</v>
      </c>
      <c r="BL7" s="220"/>
      <c r="BM7" s="220"/>
      <c r="BN7" s="220"/>
      <c r="BO7" s="220"/>
      <c r="BP7" s="220"/>
      <c r="BQ7" s="220"/>
      <c r="BR7" s="221"/>
      <c r="BS7" s="204" t="s">
        <v>5</v>
      </c>
      <c r="BT7" s="136" t="s">
        <v>5</v>
      </c>
    </row>
    <row r="8" spans="1:73" ht="18.600000000000001" thickBot="1" x14ac:dyDescent="0.4">
      <c r="B8" s="38" t="s">
        <v>2</v>
      </c>
      <c r="C8" s="38" t="s">
        <v>163</v>
      </c>
      <c r="D8" s="38" t="s">
        <v>161</v>
      </c>
      <c r="E8" s="38" t="s">
        <v>0</v>
      </c>
      <c r="F8" s="38" t="s">
        <v>190</v>
      </c>
      <c r="G8" s="38" t="s">
        <v>191</v>
      </c>
      <c r="H8" s="38" t="s">
        <v>3</v>
      </c>
      <c r="I8" s="38" t="s">
        <v>7</v>
      </c>
      <c r="L8" s="38" t="s">
        <v>173</v>
      </c>
      <c r="AA8" s="33" t="s">
        <v>6</v>
      </c>
      <c r="AB8" s="33" t="s">
        <v>6</v>
      </c>
      <c r="AC8" s="33" t="s">
        <v>6</v>
      </c>
      <c r="AD8" s="33" t="s">
        <v>6</v>
      </c>
      <c r="AE8" s="33" t="s">
        <v>6</v>
      </c>
      <c r="AF8" s="33" t="s">
        <v>274</v>
      </c>
      <c r="AG8" s="33" t="s">
        <v>264</v>
      </c>
      <c r="AH8" s="23" t="s">
        <v>265</v>
      </c>
      <c r="AI8" s="23" t="s">
        <v>265</v>
      </c>
      <c r="AJ8" s="33" t="s">
        <v>6</v>
      </c>
      <c r="AK8" s="33" t="s">
        <v>264</v>
      </c>
      <c r="AL8" s="44" t="s">
        <v>265</v>
      </c>
      <c r="AM8" s="44" t="s">
        <v>265</v>
      </c>
      <c r="AN8" s="33" t="s">
        <v>6</v>
      </c>
      <c r="AO8" s="16" t="s">
        <v>264</v>
      </c>
      <c r="AP8" s="44" t="s">
        <v>265</v>
      </c>
      <c r="AQ8" s="44" t="s">
        <v>265</v>
      </c>
      <c r="AR8" s="33" t="s">
        <v>6</v>
      </c>
      <c r="AS8" s="16" t="s">
        <v>264</v>
      </c>
      <c r="AT8" s="44" t="s">
        <v>265</v>
      </c>
      <c r="AU8" s="44" t="s">
        <v>265</v>
      </c>
      <c r="AV8" s="33" t="s">
        <v>6</v>
      </c>
      <c r="AW8" s="16" t="s">
        <v>264</v>
      </c>
      <c r="AX8" s="44" t="s">
        <v>265</v>
      </c>
      <c r="AY8" s="44" t="s">
        <v>265</v>
      </c>
      <c r="AZ8" s="33" t="s">
        <v>6</v>
      </c>
      <c r="BA8" s="16" t="s">
        <v>264</v>
      </c>
      <c r="BB8" s="133" t="s">
        <v>265</v>
      </c>
      <c r="BC8" s="133" t="s">
        <v>265</v>
      </c>
      <c r="BD8" s="134" t="s">
        <v>6</v>
      </c>
      <c r="BE8" s="137" t="s">
        <v>264</v>
      </c>
      <c r="BG8" s="222" t="s">
        <v>265</v>
      </c>
      <c r="BH8" s="223"/>
      <c r="BI8" s="223"/>
      <c r="BJ8" s="224"/>
      <c r="BK8" s="225" t="s">
        <v>265</v>
      </c>
      <c r="BL8" s="226"/>
      <c r="BM8" s="226"/>
      <c r="BN8" s="226"/>
      <c r="BO8" s="226"/>
      <c r="BP8" s="226"/>
      <c r="BQ8" s="226"/>
      <c r="BR8" s="227"/>
      <c r="BS8" s="204" t="s">
        <v>6</v>
      </c>
      <c r="BT8" s="136" t="s">
        <v>264</v>
      </c>
    </row>
    <row r="9" spans="1:73" ht="25.8" thickBot="1" x14ac:dyDescent="0.65">
      <c r="A9" s="53">
        <v>1</v>
      </c>
      <c r="B9" s="99" t="s">
        <v>266</v>
      </c>
      <c r="C9" s="100" t="s">
        <v>168</v>
      </c>
      <c r="D9" s="108">
        <v>43661</v>
      </c>
      <c r="E9" s="101">
        <v>6</v>
      </c>
      <c r="F9" s="101">
        <f t="shared" ref="F9:F43" si="0">+E9*$C$1</f>
        <v>3199.9800000000005</v>
      </c>
      <c r="G9" s="101">
        <f t="shared" ref="G9:G43" si="1">+BU9</f>
        <v>840</v>
      </c>
      <c r="H9" s="102">
        <f t="shared" ref="H9:H43" si="2">+F9+G9</f>
        <v>4039.9800000000005</v>
      </c>
      <c r="I9" s="103">
        <v>10</v>
      </c>
      <c r="J9" s="81">
        <v>10</v>
      </c>
      <c r="L9" s="96">
        <v>46136</v>
      </c>
      <c r="M9" s="97"/>
      <c r="N9" s="98" t="str">
        <f t="shared" ref="N9:N45" ca="1" si="3">IF($B$2&lt;L9,"O.K.","A L E R T A ")</f>
        <v>O.K.</v>
      </c>
      <c r="Z9" s="3" t="s">
        <v>266</v>
      </c>
      <c r="AA9" s="34">
        <v>0</v>
      </c>
      <c r="AB9" s="34">
        <v>0</v>
      </c>
      <c r="AC9" s="35">
        <v>0</v>
      </c>
      <c r="AD9" s="35">
        <v>0</v>
      </c>
      <c r="AE9" s="35">
        <v>0</v>
      </c>
      <c r="AF9" s="24">
        <v>0</v>
      </c>
      <c r="AG9" s="21">
        <f t="shared" ref="AG9:AG43" si="4">+AF9-AE9</f>
        <v>0</v>
      </c>
      <c r="AH9" s="42">
        <f>54+78</f>
        <v>132</v>
      </c>
      <c r="AI9" s="42">
        <f>+(78)+(78)+(0)+(0)+(54)+(240)</f>
        <v>450</v>
      </c>
      <c r="AJ9" s="35">
        <v>120</v>
      </c>
      <c r="AK9" s="17">
        <f t="shared" ref="AK9:AK43" si="5">+AG9+(AH9+AI9)-AJ9</f>
        <v>462</v>
      </c>
      <c r="AL9" s="42">
        <f t="shared" ref="AL9:AL17" si="6">+(0)+(0)+(0)+(0)+(0)+(0)</f>
        <v>0</v>
      </c>
      <c r="AM9" s="42">
        <f>+(78)+(0)+(0)+(0)+(78)+(0)</f>
        <v>156</v>
      </c>
      <c r="AN9" s="35">
        <v>120</v>
      </c>
      <c r="AO9" s="24">
        <f t="shared" ref="AO9:AO43" si="7">+AK9+AL9+AM9-AN9</f>
        <v>498</v>
      </c>
      <c r="AP9" s="42">
        <f t="shared" ref="AP9:AQ365" si="8">+(0)+(0)+(0)+(0)+(0)+(0)</f>
        <v>0</v>
      </c>
      <c r="AQ9" s="42">
        <f>+(0)+(30)+(0)+(0)+(0)+(108)</f>
        <v>138</v>
      </c>
      <c r="AR9" s="68">
        <v>120</v>
      </c>
      <c r="AS9" s="71">
        <f t="shared" ref="AS9:AS43" si="9">+AO9+AP9+AQ9-AR9</f>
        <v>516</v>
      </c>
      <c r="AT9" s="60">
        <f>+(0)+(0)+(0)+(0)+(132)+(0)</f>
        <v>132</v>
      </c>
      <c r="AU9" s="60">
        <f>+(0)+(120)+(0)+(0)+(0)+(0)</f>
        <v>120</v>
      </c>
      <c r="AV9" s="94">
        <v>120</v>
      </c>
      <c r="AW9" s="71">
        <f t="shared" ref="AW9:AW43" si="10">+AS9+AT9+AU9-AV9</f>
        <v>648</v>
      </c>
      <c r="AX9" s="60">
        <f t="shared" ref="AX9:AX11" si="11">+(0)+(0)+(0)+(0)</f>
        <v>0</v>
      </c>
      <c r="AY9" s="113">
        <f>+(0)+(0)+(0)+(0)+(0)+(0)+(78)+(129)</f>
        <v>207</v>
      </c>
      <c r="AZ9" s="71">
        <v>120</v>
      </c>
      <c r="BA9" s="71">
        <f>(+AW9+AX9+AY9)-AZ9</f>
        <v>735</v>
      </c>
      <c r="BB9" s="135">
        <f>+(0)+(0)+(0)+(54)</f>
        <v>54</v>
      </c>
      <c r="BC9" s="135">
        <f>+(0)+(0)+(0)+(0)+(0)+(0)+(108)+(192)</f>
        <v>300</v>
      </c>
      <c r="BD9" s="50">
        <v>120</v>
      </c>
      <c r="BE9" s="50">
        <f t="shared" ref="BE9:BE38" si="12">(BA9+BB9+BC9)-BD9</f>
        <v>969</v>
      </c>
      <c r="BG9" s="207">
        <v>30</v>
      </c>
      <c r="BH9" s="139">
        <v>0</v>
      </c>
      <c r="BI9" s="139">
        <v>0</v>
      </c>
      <c r="BJ9" s="139">
        <v>0</v>
      </c>
      <c r="BK9" s="139">
        <v>0</v>
      </c>
      <c r="BL9" s="139">
        <v>0</v>
      </c>
      <c r="BM9" s="139">
        <v>0</v>
      </c>
      <c r="BN9" s="139">
        <v>0</v>
      </c>
      <c r="BO9" s="139">
        <v>0</v>
      </c>
      <c r="BP9" s="139">
        <v>0</v>
      </c>
      <c r="BQ9" s="139">
        <v>0</v>
      </c>
      <c r="BR9" s="139">
        <v>0</v>
      </c>
      <c r="BS9" s="206">
        <v>120</v>
      </c>
      <c r="BT9" s="205">
        <f>+BE9+SUM(BG9:BJ9)+SUM(BK9:BR9)-BS9</f>
        <v>879</v>
      </c>
      <c r="BU9" s="153">
        <f t="shared" ref="BU9:BU69" si="13">SUM(AA9:AD9)+AE9+AJ9+AN9+AR9+AV9+AZ9+BD9+BS9</f>
        <v>840</v>
      </c>
    </row>
    <row r="10" spans="1:73" ht="25.8" thickBot="1" x14ac:dyDescent="0.65">
      <c r="A10" s="53">
        <v>2</v>
      </c>
      <c r="B10" s="99" t="s">
        <v>9</v>
      </c>
      <c r="C10" s="100" t="s">
        <v>162</v>
      </c>
      <c r="D10" s="99" t="s">
        <v>94</v>
      </c>
      <c r="E10" s="101">
        <v>6</v>
      </c>
      <c r="F10" s="101">
        <f t="shared" si="0"/>
        <v>3199.9800000000005</v>
      </c>
      <c r="G10" s="101">
        <f t="shared" si="1"/>
        <v>1669.8</v>
      </c>
      <c r="H10" s="102">
        <f t="shared" si="2"/>
        <v>4869.7800000000007</v>
      </c>
      <c r="I10" s="103">
        <v>9</v>
      </c>
      <c r="J10" s="81">
        <v>9</v>
      </c>
      <c r="L10" s="96">
        <v>46206</v>
      </c>
      <c r="M10" s="97"/>
      <c r="N10" s="98" t="str">
        <f t="shared" ca="1" si="3"/>
        <v>O.K.</v>
      </c>
      <c r="Z10" s="3" t="s">
        <v>9</v>
      </c>
      <c r="AA10" s="34">
        <v>420</v>
      </c>
      <c r="AB10" s="34">
        <v>120</v>
      </c>
      <c r="AC10" s="35">
        <v>96</v>
      </c>
      <c r="AD10" s="35">
        <v>115.8</v>
      </c>
      <c r="AE10" s="35">
        <v>78</v>
      </c>
      <c r="AF10" s="24">
        <v>78</v>
      </c>
      <c r="AG10" s="21">
        <f t="shared" si="4"/>
        <v>0</v>
      </c>
      <c r="AH10" s="42">
        <v>0</v>
      </c>
      <c r="AI10" s="42">
        <f>+(54)+(78)+(78)+(0)+(0)+(54)</f>
        <v>264</v>
      </c>
      <c r="AJ10" s="35">
        <v>120</v>
      </c>
      <c r="AK10" s="17">
        <f t="shared" si="5"/>
        <v>144</v>
      </c>
      <c r="AL10" s="42">
        <f t="shared" si="6"/>
        <v>0</v>
      </c>
      <c r="AM10" s="42">
        <f>+(0)+(156)+(0)+(0)+(0)+(0)</f>
        <v>156</v>
      </c>
      <c r="AN10" s="35">
        <v>120</v>
      </c>
      <c r="AO10" s="24">
        <f t="shared" si="7"/>
        <v>180</v>
      </c>
      <c r="AP10" s="42">
        <f t="shared" si="8"/>
        <v>0</v>
      </c>
      <c r="AQ10" s="42">
        <f>+(0)+(0)+(0)+(0)+(126)+(0)</f>
        <v>126</v>
      </c>
      <c r="AR10" s="68">
        <v>120</v>
      </c>
      <c r="AS10" s="71">
        <f t="shared" si="9"/>
        <v>186</v>
      </c>
      <c r="AT10" s="60">
        <f>+(0)+(0)+(0)+(0)+(54)+(78)</f>
        <v>132</v>
      </c>
      <c r="AU10" s="60">
        <f>+(0)+(96)+(0)+(0)+(0)+(0)</f>
        <v>96</v>
      </c>
      <c r="AV10" s="94">
        <v>120</v>
      </c>
      <c r="AW10" s="71">
        <f t="shared" si="10"/>
        <v>294</v>
      </c>
      <c r="AX10" s="60">
        <f t="shared" si="11"/>
        <v>0</v>
      </c>
      <c r="AY10" s="113">
        <f>+(0)+(0)+(0)+(0)+(0)+(0)+(54.6)+(129)</f>
        <v>183.6</v>
      </c>
      <c r="AZ10" s="71">
        <v>120</v>
      </c>
      <c r="BA10" s="71">
        <f>(+AW10+AX10+AY10)-AZ10</f>
        <v>357.6</v>
      </c>
      <c r="BB10" s="135">
        <f>+(0)+(0)+(0)+(54)</f>
        <v>54</v>
      </c>
      <c r="BC10" s="135">
        <f>+(0)+(0)+(0)+(54.6)+(78)+(0)+(54.6)+(0)</f>
        <v>187.2</v>
      </c>
      <c r="BD10" s="50">
        <v>120</v>
      </c>
      <c r="BE10" s="50">
        <f t="shared" si="12"/>
        <v>478.79999999999995</v>
      </c>
      <c r="BG10" s="139">
        <v>0</v>
      </c>
      <c r="BH10" s="139">
        <v>0</v>
      </c>
      <c r="BI10" s="139">
        <v>0</v>
      </c>
      <c r="BJ10" s="139">
        <v>0</v>
      </c>
      <c r="BK10" s="139">
        <v>0</v>
      </c>
      <c r="BL10" s="139">
        <v>0</v>
      </c>
      <c r="BM10" s="139">
        <v>0</v>
      </c>
      <c r="BN10" s="139">
        <v>0</v>
      </c>
      <c r="BO10" s="139">
        <v>0</v>
      </c>
      <c r="BP10" s="139">
        <v>0</v>
      </c>
      <c r="BQ10" s="139">
        <v>0</v>
      </c>
      <c r="BR10" s="139">
        <v>0</v>
      </c>
      <c r="BS10" s="206">
        <v>120</v>
      </c>
      <c r="BT10" s="205">
        <f t="shared" ref="BT10:BT70" si="14">+BE10+SUM(BG10:BJ10)+SUM(BK10:BR10)-BS10</f>
        <v>358.79999999999995</v>
      </c>
      <c r="BU10" s="153">
        <f t="shared" si="13"/>
        <v>1669.8</v>
      </c>
    </row>
    <row r="11" spans="1:73" ht="25.8" thickBot="1" x14ac:dyDescent="0.65">
      <c r="A11" s="53">
        <v>3</v>
      </c>
      <c r="B11" s="143" t="s">
        <v>10</v>
      </c>
      <c r="C11" s="144" t="s">
        <v>164</v>
      </c>
      <c r="D11" s="143" t="s">
        <v>95</v>
      </c>
      <c r="E11" s="146">
        <v>12</v>
      </c>
      <c r="F11" s="146">
        <f t="shared" si="0"/>
        <v>6399.9600000000009</v>
      </c>
      <c r="G11" s="146">
        <f t="shared" si="1"/>
        <v>2256</v>
      </c>
      <c r="H11" s="147">
        <f t="shared" si="2"/>
        <v>8655.9600000000009</v>
      </c>
      <c r="I11" s="148">
        <v>4</v>
      </c>
      <c r="J11" s="81">
        <v>4</v>
      </c>
      <c r="L11" s="149">
        <v>46520</v>
      </c>
      <c r="M11" s="150"/>
      <c r="N11" s="151" t="str">
        <f t="shared" ca="1" si="3"/>
        <v>O.K.</v>
      </c>
      <c r="Z11" s="3" t="s">
        <v>10</v>
      </c>
      <c r="AA11" s="34">
        <v>1350</v>
      </c>
      <c r="AB11" s="34">
        <v>96</v>
      </c>
      <c r="AC11" s="35">
        <v>96</v>
      </c>
      <c r="AD11" s="35">
        <v>120</v>
      </c>
      <c r="AE11" s="35">
        <v>120</v>
      </c>
      <c r="AF11" s="24">
        <v>156</v>
      </c>
      <c r="AG11" s="21">
        <f t="shared" si="4"/>
        <v>36</v>
      </c>
      <c r="AH11" s="42">
        <v>78</v>
      </c>
      <c r="AI11" s="42">
        <f>+(0)+(132)+(0)+(0)+(54)+(54)</f>
        <v>240</v>
      </c>
      <c r="AJ11" s="35">
        <v>120</v>
      </c>
      <c r="AK11" s="17">
        <f t="shared" si="5"/>
        <v>234</v>
      </c>
      <c r="AL11" s="42">
        <f t="shared" si="6"/>
        <v>0</v>
      </c>
      <c r="AM11" s="42">
        <f>+(0)+(0)+(0)+(0)+(0)+(0)</f>
        <v>0</v>
      </c>
      <c r="AN11" s="35">
        <v>120</v>
      </c>
      <c r="AO11" s="24">
        <f t="shared" si="7"/>
        <v>114</v>
      </c>
      <c r="AP11" s="42">
        <f t="shared" si="8"/>
        <v>0</v>
      </c>
      <c r="AQ11" s="42">
        <f>+(0)+(0)+(0)+(0)+(120)+(0)</f>
        <v>120</v>
      </c>
      <c r="AR11" s="68">
        <v>120</v>
      </c>
      <c r="AS11" s="71">
        <f t="shared" si="9"/>
        <v>114</v>
      </c>
      <c r="AT11" s="60">
        <f t="shared" ref="AT11:AU376" si="15">+(0)+(0)+(0)+(0)+(0)+(0)</f>
        <v>0</v>
      </c>
      <c r="AU11" s="60">
        <f t="shared" si="15"/>
        <v>0</v>
      </c>
      <c r="AV11" s="94">
        <v>114</v>
      </c>
      <c r="AW11" s="71">
        <f t="shared" si="10"/>
        <v>0</v>
      </c>
      <c r="AX11" s="60">
        <f t="shared" si="11"/>
        <v>0</v>
      </c>
      <c r="AY11" s="113">
        <f t="shared" ref="AY11:AY396" si="16">+(0)+(0)+(0)+(0)+(0)+(0)+(0)+(0)</f>
        <v>0</v>
      </c>
      <c r="AZ11" s="72">
        <v>0</v>
      </c>
      <c r="BA11" s="72">
        <f>(+AW11+AX11+AY11)-AZ11</f>
        <v>0</v>
      </c>
      <c r="BB11" s="135">
        <f t="shared" ref="BB11:BB403" si="17">+(0)+(0)+(0)+(0)</f>
        <v>0</v>
      </c>
      <c r="BC11" s="135">
        <f t="shared" ref="BC11:BC403" si="18">+(0)+(0)+(0)+(0)+(0)+(0)+(0)+(0)</f>
        <v>0</v>
      </c>
      <c r="BD11" s="50">
        <v>0</v>
      </c>
      <c r="BE11" s="50">
        <f t="shared" si="12"/>
        <v>0</v>
      </c>
      <c r="BG11" s="139">
        <v>0</v>
      </c>
      <c r="BH11" s="139">
        <v>0</v>
      </c>
      <c r="BI11" s="139">
        <v>0</v>
      </c>
      <c r="BJ11" s="139">
        <v>0</v>
      </c>
      <c r="BK11" s="139">
        <v>0</v>
      </c>
      <c r="BL11" s="139">
        <v>0</v>
      </c>
      <c r="BM11" s="139">
        <v>0</v>
      </c>
      <c r="BN11" s="139">
        <v>0</v>
      </c>
      <c r="BO11" s="139">
        <v>0</v>
      </c>
      <c r="BP11" s="139">
        <v>0</v>
      </c>
      <c r="BQ11" s="139">
        <v>0</v>
      </c>
      <c r="BR11" s="139">
        <v>0</v>
      </c>
      <c r="BS11" s="206">
        <v>0</v>
      </c>
      <c r="BT11" s="205">
        <f t="shared" si="14"/>
        <v>0</v>
      </c>
      <c r="BU11" s="153">
        <f t="shared" si="13"/>
        <v>2256</v>
      </c>
    </row>
    <row r="12" spans="1:73" ht="25.8" thickBot="1" x14ac:dyDescent="0.65">
      <c r="A12" s="53">
        <v>4</v>
      </c>
      <c r="B12" s="99" t="s">
        <v>319</v>
      </c>
      <c r="C12" s="100" t="s">
        <v>165</v>
      </c>
      <c r="D12" s="108">
        <v>44197</v>
      </c>
      <c r="E12" s="101">
        <v>2</v>
      </c>
      <c r="F12" s="101">
        <f t="shared" si="0"/>
        <v>1066.6600000000001</v>
      </c>
      <c r="G12" s="101">
        <f t="shared" si="1"/>
        <v>900</v>
      </c>
      <c r="H12" s="102">
        <f t="shared" si="2"/>
        <v>1966.66</v>
      </c>
      <c r="I12" s="103">
        <v>13</v>
      </c>
      <c r="J12" s="81">
        <v>13</v>
      </c>
      <c r="L12" s="96">
        <v>46218</v>
      </c>
      <c r="M12" s="97"/>
      <c r="N12" s="98" t="str">
        <f t="shared" ca="1" si="3"/>
        <v>O.K.</v>
      </c>
      <c r="Z12" s="3" t="s">
        <v>319</v>
      </c>
      <c r="AA12" s="34">
        <v>0</v>
      </c>
      <c r="AB12" s="34">
        <v>0</v>
      </c>
      <c r="AC12" s="35">
        <v>0</v>
      </c>
      <c r="AD12" s="35">
        <v>0</v>
      </c>
      <c r="AE12" s="35">
        <v>0</v>
      </c>
      <c r="AF12" s="24">
        <v>0</v>
      </c>
      <c r="AG12" s="21">
        <f t="shared" si="4"/>
        <v>0</v>
      </c>
      <c r="AH12" s="42">
        <f t="shared" ref="AH12:AI12" si="19">+(0)+(0)+(0)+(0)+(0)+(0)</f>
        <v>0</v>
      </c>
      <c r="AI12" s="42">
        <f t="shared" si="19"/>
        <v>0</v>
      </c>
      <c r="AJ12" s="35">
        <v>0</v>
      </c>
      <c r="AK12" s="17">
        <f t="shared" si="5"/>
        <v>0</v>
      </c>
      <c r="AL12" s="42">
        <f t="shared" si="6"/>
        <v>0</v>
      </c>
      <c r="AM12" s="42">
        <f>+(78)+(0)+(0)+(0)+(78)+(0)</f>
        <v>156</v>
      </c>
      <c r="AN12" s="35">
        <v>150</v>
      </c>
      <c r="AO12" s="24">
        <f t="shared" si="7"/>
        <v>6</v>
      </c>
      <c r="AP12" s="42">
        <f t="shared" si="8"/>
        <v>0</v>
      </c>
      <c r="AQ12" s="42">
        <f>+(0)+(0)+(261.6)+(0)+(108)+(96)</f>
        <v>465.6</v>
      </c>
      <c r="AR12" s="68">
        <v>150</v>
      </c>
      <c r="AS12" s="71">
        <f t="shared" si="9"/>
        <v>321.60000000000002</v>
      </c>
      <c r="AT12" s="60">
        <f>+(0)+(0)+(0)+(0)+(54)+(0)</f>
        <v>54</v>
      </c>
      <c r="AU12" s="60">
        <f>+(0)+(547.2)+(0)+(0)+(0)+(0)</f>
        <v>547.20000000000005</v>
      </c>
      <c r="AV12" s="94">
        <v>150</v>
      </c>
      <c r="AW12" s="71">
        <f t="shared" si="10"/>
        <v>772.80000000000007</v>
      </c>
      <c r="AX12" s="60">
        <f>+(0)+(0)+(0)+(174)</f>
        <v>174</v>
      </c>
      <c r="AY12" s="113">
        <f>+(0)+(0)+(0)+(0)+(0)+(120)+(0)+(0)</f>
        <v>120</v>
      </c>
      <c r="AZ12" s="72">
        <v>150</v>
      </c>
      <c r="BA12" s="72">
        <f>(+AW12+AX12+AY12)-AZ12</f>
        <v>916.80000000000018</v>
      </c>
      <c r="BB12" s="135">
        <f>+(0)+(0)+(120)+(0)</f>
        <v>120</v>
      </c>
      <c r="BC12" s="135">
        <f>+(0)+(96)+(0)+(0)+(0)+(0)+(0)+(0)</f>
        <v>96</v>
      </c>
      <c r="BD12" s="50">
        <v>150</v>
      </c>
      <c r="BE12" s="50">
        <f t="shared" si="12"/>
        <v>982.80000000000018</v>
      </c>
      <c r="BG12" s="139">
        <v>0</v>
      </c>
      <c r="BH12" s="139">
        <v>0</v>
      </c>
      <c r="BI12" s="139">
        <v>0</v>
      </c>
      <c r="BJ12" s="139">
        <v>0</v>
      </c>
      <c r="BK12" s="139">
        <v>0</v>
      </c>
      <c r="BL12" s="139">
        <v>0</v>
      </c>
      <c r="BM12" s="139">
        <v>0</v>
      </c>
      <c r="BN12" s="139">
        <v>0</v>
      </c>
      <c r="BO12" s="139">
        <v>0</v>
      </c>
      <c r="BP12" s="139">
        <v>0</v>
      </c>
      <c r="BQ12" s="139">
        <v>0</v>
      </c>
      <c r="BR12" s="139">
        <v>0</v>
      </c>
      <c r="BS12" s="206">
        <v>150</v>
      </c>
      <c r="BT12" s="205">
        <f t="shared" si="14"/>
        <v>832.80000000000018</v>
      </c>
      <c r="BU12" s="153">
        <f t="shared" si="13"/>
        <v>900</v>
      </c>
    </row>
    <row r="13" spans="1:73" ht="25.8" thickBot="1" x14ac:dyDescent="0.65">
      <c r="A13" s="53">
        <v>5</v>
      </c>
      <c r="B13" s="99" t="s">
        <v>325</v>
      </c>
      <c r="C13" s="100" t="s">
        <v>165</v>
      </c>
      <c r="D13" s="108">
        <v>44228</v>
      </c>
      <c r="E13" s="101">
        <v>2</v>
      </c>
      <c r="F13" s="101">
        <f t="shared" si="0"/>
        <v>1066.6600000000001</v>
      </c>
      <c r="G13" s="101">
        <f t="shared" si="1"/>
        <v>750</v>
      </c>
      <c r="H13" s="102">
        <f t="shared" si="2"/>
        <v>1816.66</v>
      </c>
      <c r="I13" s="103">
        <v>13</v>
      </c>
      <c r="J13" s="81">
        <v>13</v>
      </c>
      <c r="K13" s="208" t="s">
        <v>309</v>
      </c>
      <c r="L13" s="96">
        <v>46137</v>
      </c>
      <c r="M13" s="97"/>
      <c r="N13" s="98" t="str">
        <f t="shared" ca="1" si="3"/>
        <v>O.K.</v>
      </c>
      <c r="Z13" s="3" t="s">
        <v>325</v>
      </c>
      <c r="AA13" s="34">
        <v>0</v>
      </c>
      <c r="AB13" s="34">
        <v>0</v>
      </c>
      <c r="AC13" s="35">
        <v>0</v>
      </c>
      <c r="AD13" s="35">
        <v>0</v>
      </c>
      <c r="AE13" s="35">
        <v>0</v>
      </c>
      <c r="AF13" s="24">
        <v>0</v>
      </c>
      <c r="AG13" s="21">
        <f t="shared" si="4"/>
        <v>0</v>
      </c>
      <c r="AH13" s="42">
        <v>0</v>
      </c>
      <c r="AI13" s="42">
        <v>0</v>
      </c>
      <c r="AJ13" s="35">
        <v>0</v>
      </c>
      <c r="AK13" s="17">
        <f t="shared" si="5"/>
        <v>0</v>
      </c>
      <c r="AL13" s="42">
        <f t="shared" si="6"/>
        <v>0</v>
      </c>
      <c r="AM13" s="42">
        <f>+(0)+(0)+(0)+(0)+(0)+(0)</f>
        <v>0</v>
      </c>
      <c r="AN13" s="35">
        <v>0</v>
      </c>
      <c r="AO13" s="24">
        <f t="shared" si="7"/>
        <v>0</v>
      </c>
      <c r="AP13" s="42">
        <f>+(0)+(0)+(0)+(0)+(0)+(0)</f>
        <v>0</v>
      </c>
      <c r="AQ13" s="42">
        <f>+(108)+(30)+(78)+(0)+(132)+(96)</f>
        <v>444</v>
      </c>
      <c r="AR13" s="68">
        <v>150</v>
      </c>
      <c r="AS13" s="71">
        <f t="shared" si="9"/>
        <v>294</v>
      </c>
      <c r="AT13" s="60">
        <f>+(108)+(0)+(0)+(0)+(54)+(0)</f>
        <v>162</v>
      </c>
      <c r="AU13" s="60">
        <f t="shared" si="15"/>
        <v>0</v>
      </c>
      <c r="AV13" s="94">
        <v>150</v>
      </c>
      <c r="AW13" s="71">
        <f t="shared" si="10"/>
        <v>306</v>
      </c>
      <c r="AX13" s="60">
        <f>+(0)+(0)+(30)+(78)</f>
        <v>108</v>
      </c>
      <c r="AY13" s="113">
        <f>+(0)+(0)+(0)+(0)+(0)+(0)+(78)+(0)</f>
        <v>78</v>
      </c>
      <c r="AZ13" s="72">
        <v>150</v>
      </c>
      <c r="BA13" s="72">
        <f t="shared" ref="BA13:BA16" si="20">(+AW13+AX13+AY13)-AZ13</f>
        <v>342</v>
      </c>
      <c r="BB13" s="135">
        <f t="shared" si="17"/>
        <v>0</v>
      </c>
      <c r="BC13" s="135">
        <f>+(0)+(54)+(174)+(54.6)+(0)+(0)+(0)+(0)</f>
        <v>282.60000000000002</v>
      </c>
      <c r="BD13" s="50">
        <v>150</v>
      </c>
      <c r="BE13" s="50">
        <f t="shared" si="12"/>
        <v>474.6</v>
      </c>
      <c r="BG13" s="139">
        <v>0</v>
      </c>
      <c r="BH13" s="207">
        <v>75.599999999999994</v>
      </c>
      <c r="BI13" s="139">
        <v>0</v>
      </c>
      <c r="BJ13" s="139">
        <v>0</v>
      </c>
      <c r="BK13" s="139">
        <v>0</v>
      </c>
      <c r="BL13" s="139">
        <v>0</v>
      </c>
      <c r="BM13" s="139">
        <v>0</v>
      </c>
      <c r="BN13" s="139">
        <v>0</v>
      </c>
      <c r="BO13" s="139">
        <v>0</v>
      </c>
      <c r="BP13" s="139">
        <v>0</v>
      </c>
      <c r="BQ13" s="139">
        <v>0</v>
      </c>
      <c r="BR13" s="139">
        <v>0</v>
      </c>
      <c r="BS13" s="206">
        <v>150</v>
      </c>
      <c r="BT13" s="205">
        <f t="shared" si="14"/>
        <v>400.20000000000005</v>
      </c>
      <c r="BU13" s="153">
        <f t="shared" si="13"/>
        <v>750</v>
      </c>
    </row>
    <row r="14" spans="1:73" ht="25.8" thickBot="1" x14ac:dyDescent="0.65">
      <c r="A14" s="53">
        <v>6</v>
      </c>
      <c r="B14" s="99" t="s">
        <v>356</v>
      </c>
      <c r="C14" s="100" t="s">
        <v>165</v>
      </c>
      <c r="D14" s="99" t="s">
        <v>97</v>
      </c>
      <c r="E14" s="101">
        <v>9</v>
      </c>
      <c r="F14" s="101">
        <f t="shared" si="0"/>
        <v>4799.97</v>
      </c>
      <c r="G14" s="101">
        <f t="shared" si="1"/>
        <v>2820</v>
      </c>
      <c r="H14" s="102">
        <f t="shared" si="2"/>
        <v>7619.97</v>
      </c>
      <c r="I14" s="103">
        <v>6</v>
      </c>
      <c r="J14" s="81">
        <v>6</v>
      </c>
      <c r="L14" s="96">
        <v>46023</v>
      </c>
      <c r="M14" s="97"/>
      <c r="N14" s="98" t="str">
        <f t="shared" ca="1" si="3"/>
        <v>O.K.</v>
      </c>
      <c r="Z14" s="3" t="s">
        <v>356</v>
      </c>
      <c r="AA14" s="34">
        <v>1500</v>
      </c>
      <c r="AB14" s="34">
        <v>150</v>
      </c>
      <c r="AC14" s="35">
        <v>96</v>
      </c>
      <c r="AD14" s="35">
        <v>150</v>
      </c>
      <c r="AE14" s="35">
        <v>132</v>
      </c>
      <c r="AF14" s="24">
        <v>132</v>
      </c>
      <c r="AG14" s="21">
        <f t="shared" si="4"/>
        <v>0</v>
      </c>
      <c r="AH14" s="42">
        <v>0</v>
      </c>
      <c r="AI14" s="42">
        <f>+(0)+(0)+(0)+(0)+(132)+(54)</f>
        <v>186</v>
      </c>
      <c r="AJ14" s="35">
        <v>150</v>
      </c>
      <c r="AK14" s="17">
        <f t="shared" si="5"/>
        <v>36</v>
      </c>
      <c r="AL14" s="42">
        <f t="shared" si="6"/>
        <v>0</v>
      </c>
      <c r="AM14" s="42">
        <f>+(0)+(0)+(0)+(0)+(18)+(54)</f>
        <v>72</v>
      </c>
      <c r="AN14" s="35">
        <v>108</v>
      </c>
      <c r="AO14" s="24">
        <f t="shared" si="7"/>
        <v>0</v>
      </c>
      <c r="AP14" s="42">
        <f t="shared" si="8"/>
        <v>0</v>
      </c>
      <c r="AQ14" s="42">
        <f>+(0)+(0)+(0)+(0)+(0)+(96)</f>
        <v>96</v>
      </c>
      <c r="AR14" s="68">
        <v>96</v>
      </c>
      <c r="AS14" s="71">
        <f t="shared" si="9"/>
        <v>0</v>
      </c>
      <c r="AT14" s="60">
        <f>+(0)+(0)+(0)+(0)+(54)+(0)</f>
        <v>54</v>
      </c>
      <c r="AU14" s="60">
        <f t="shared" si="15"/>
        <v>0</v>
      </c>
      <c r="AV14" s="94">
        <v>54</v>
      </c>
      <c r="AW14" s="71">
        <f t="shared" si="10"/>
        <v>0</v>
      </c>
      <c r="AX14" s="60">
        <f t="shared" ref="AX14" si="21">+(0)+(0)+(0)+(0)</f>
        <v>0</v>
      </c>
      <c r="AY14" s="113">
        <f>+(0)+(0)+(120)+(78)+(0)+(0)+(78)+(0)</f>
        <v>276</v>
      </c>
      <c r="AZ14" s="72">
        <v>150</v>
      </c>
      <c r="BA14" s="72">
        <f t="shared" si="20"/>
        <v>126</v>
      </c>
      <c r="BB14" s="135">
        <f t="shared" si="17"/>
        <v>0</v>
      </c>
      <c r="BC14" s="135">
        <f>+(0)+(108)+(0)+(0)+(0)+(0)+(0)+(0)</f>
        <v>108</v>
      </c>
      <c r="BD14" s="50">
        <v>150</v>
      </c>
      <c r="BE14" s="50">
        <f t="shared" si="12"/>
        <v>84</v>
      </c>
      <c r="BG14" s="139">
        <v>0</v>
      </c>
      <c r="BH14" s="139">
        <v>0</v>
      </c>
      <c r="BI14" s="139">
        <v>0</v>
      </c>
      <c r="BJ14" s="139">
        <v>0</v>
      </c>
      <c r="BK14" s="139">
        <v>0</v>
      </c>
      <c r="BL14" s="139">
        <v>0</v>
      </c>
      <c r="BM14" s="139">
        <v>0</v>
      </c>
      <c r="BN14" s="139">
        <v>0</v>
      </c>
      <c r="BO14" s="139">
        <v>0</v>
      </c>
      <c r="BP14" s="139">
        <v>0</v>
      </c>
      <c r="BQ14" s="139">
        <v>0</v>
      </c>
      <c r="BR14" s="139">
        <v>0</v>
      </c>
      <c r="BS14" s="206">
        <v>84</v>
      </c>
      <c r="BT14" s="205">
        <f t="shared" si="14"/>
        <v>0</v>
      </c>
      <c r="BU14" s="153">
        <f t="shared" si="13"/>
        <v>2820</v>
      </c>
    </row>
    <row r="15" spans="1:73" ht="25.8" thickBot="1" x14ac:dyDescent="0.65">
      <c r="A15" s="53">
        <v>7</v>
      </c>
      <c r="B15" s="143" t="s">
        <v>351</v>
      </c>
      <c r="C15" s="144" t="s">
        <v>168</v>
      </c>
      <c r="D15" s="145">
        <v>44474</v>
      </c>
      <c r="E15" s="146">
        <v>2</v>
      </c>
      <c r="F15" s="146">
        <f t="shared" si="0"/>
        <v>1066.6600000000001</v>
      </c>
      <c r="G15" s="146">
        <f t="shared" si="1"/>
        <v>678</v>
      </c>
      <c r="H15" s="147">
        <f t="shared" si="2"/>
        <v>1744.66</v>
      </c>
      <c r="I15" s="148">
        <v>13</v>
      </c>
      <c r="J15" s="81">
        <v>13</v>
      </c>
      <c r="L15" s="149">
        <v>46419</v>
      </c>
      <c r="M15" s="150"/>
      <c r="N15" s="151" t="str">
        <f t="shared" ca="1" si="3"/>
        <v>O.K.</v>
      </c>
      <c r="Z15" s="3" t="s">
        <v>351</v>
      </c>
      <c r="AA15" s="34">
        <v>0</v>
      </c>
      <c r="AB15" s="34">
        <v>0</v>
      </c>
      <c r="AC15" s="35">
        <v>0</v>
      </c>
      <c r="AD15" s="35">
        <v>0</v>
      </c>
      <c r="AE15" s="35">
        <v>0</v>
      </c>
      <c r="AF15" s="24">
        <v>0</v>
      </c>
      <c r="AG15" s="21">
        <f t="shared" si="4"/>
        <v>0</v>
      </c>
      <c r="AH15" s="42">
        <v>0</v>
      </c>
      <c r="AI15" s="42">
        <v>0</v>
      </c>
      <c r="AJ15" s="35">
        <v>0</v>
      </c>
      <c r="AK15" s="17">
        <f t="shared" si="5"/>
        <v>0</v>
      </c>
      <c r="AL15" s="42">
        <f t="shared" si="6"/>
        <v>0</v>
      </c>
      <c r="AM15" s="42">
        <f>+(0)+(0)+(0)+(0)+(78)+(0)</f>
        <v>78</v>
      </c>
      <c r="AN15" s="35">
        <v>78</v>
      </c>
      <c r="AO15" s="24">
        <f t="shared" si="7"/>
        <v>0</v>
      </c>
      <c r="AP15" s="42">
        <f>+(0)+(0)+(342)+(0)+(30)+(0)</f>
        <v>372</v>
      </c>
      <c r="AQ15" s="42">
        <f>+(0)+(0)+(228)+(0)+(78)+(96)</f>
        <v>402</v>
      </c>
      <c r="AR15" s="68">
        <v>120</v>
      </c>
      <c r="AS15" s="71">
        <f t="shared" si="9"/>
        <v>654</v>
      </c>
      <c r="AT15" s="60">
        <f>+(0)+(0)+(0)+(0)+(54)+(54)</f>
        <v>108</v>
      </c>
      <c r="AU15" s="60">
        <f>+(0)+(54)+(0)+(0)+(0)+(0)</f>
        <v>54</v>
      </c>
      <c r="AV15" s="94">
        <v>120</v>
      </c>
      <c r="AW15" s="71">
        <f t="shared" si="10"/>
        <v>696</v>
      </c>
      <c r="AX15" s="60">
        <f>+(0)+(0)+(0)+(216)</f>
        <v>216</v>
      </c>
      <c r="AY15" s="113">
        <f>+(0)+(0)+(108)+(0)+(0)+(0)+(108)+(30)</f>
        <v>246</v>
      </c>
      <c r="AZ15" s="71">
        <v>120</v>
      </c>
      <c r="BA15" s="71">
        <f t="shared" si="20"/>
        <v>1038</v>
      </c>
      <c r="BB15" s="135">
        <f>+(0)+(30)+(0)+(0)</f>
        <v>30</v>
      </c>
      <c r="BC15" s="135">
        <f>+(0)+(30)+(0)+(216)+(0)+(0)+(0)+(120)</f>
        <v>366</v>
      </c>
      <c r="BD15" s="50">
        <v>120</v>
      </c>
      <c r="BE15" s="50">
        <f t="shared" si="12"/>
        <v>1314</v>
      </c>
      <c r="BG15" s="139">
        <v>0</v>
      </c>
      <c r="BH15" s="139">
        <v>0</v>
      </c>
      <c r="BI15" s="139">
        <v>0</v>
      </c>
      <c r="BJ15" s="139">
        <v>0</v>
      </c>
      <c r="BK15" s="139">
        <v>0</v>
      </c>
      <c r="BL15" s="139">
        <v>0</v>
      </c>
      <c r="BM15" s="139">
        <v>0</v>
      </c>
      <c r="BN15" s="139">
        <v>0</v>
      </c>
      <c r="BO15" s="139">
        <v>0</v>
      </c>
      <c r="BP15" s="139">
        <v>0</v>
      </c>
      <c r="BQ15" s="139">
        <v>0</v>
      </c>
      <c r="BR15" s="139">
        <v>0</v>
      </c>
      <c r="BS15" s="206">
        <v>120</v>
      </c>
      <c r="BT15" s="205">
        <f t="shared" si="14"/>
        <v>1194</v>
      </c>
      <c r="BU15" s="153">
        <f t="shared" si="13"/>
        <v>678</v>
      </c>
    </row>
    <row r="16" spans="1:73" ht="25.8" thickBot="1" x14ac:dyDescent="0.65">
      <c r="A16" s="53">
        <v>8</v>
      </c>
      <c r="B16" s="143" t="s">
        <v>230</v>
      </c>
      <c r="C16" s="144" t="s">
        <v>168</v>
      </c>
      <c r="D16" s="145">
        <v>42870</v>
      </c>
      <c r="E16" s="146">
        <v>4</v>
      </c>
      <c r="F16" s="146">
        <f t="shared" si="0"/>
        <v>2133.3200000000002</v>
      </c>
      <c r="G16" s="146">
        <f t="shared" si="1"/>
        <v>1080</v>
      </c>
      <c r="H16" s="147">
        <f t="shared" si="2"/>
        <v>3213.32</v>
      </c>
      <c r="I16" s="148">
        <v>11</v>
      </c>
      <c r="J16" s="81">
        <v>11</v>
      </c>
      <c r="L16" s="149">
        <v>46522</v>
      </c>
      <c r="M16" s="150"/>
      <c r="N16" s="151" t="str">
        <f t="shared" ca="1" si="3"/>
        <v>O.K.</v>
      </c>
      <c r="Z16" s="3" t="s">
        <v>230</v>
      </c>
      <c r="AA16" s="34">
        <v>0</v>
      </c>
      <c r="AB16" s="34">
        <v>0</v>
      </c>
      <c r="AC16" s="35">
        <v>0</v>
      </c>
      <c r="AD16" s="35">
        <v>120</v>
      </c>
      <c r="AE16" s="35">
        <v>120</v>
      </c>
      <c r="AF16" s="24">
        <v>156</v>
      </c>
      <c r="AG16" s="21">
        <f t="shared" si="4"/>
        <v>36</v>
      </c>
      <c r="AH16" s="42">
        <v>132</v>
      </c>
      <c r="AI16" s="42">
        <f>+(0)+(0)+(0)+(0)+(54)+(54)</f>
        <v>108</v>
      </c>
      <c r="AJ16" s="35">
        <v>120</v>
      </c>
      <c r="AK16" s="17">
        <f t="shared" si="5"/>
        <v>156</v>
      </c>
      <c r="AL16" s="42">
        <f t="shared" si="6"/>
        <v>0</v>
      </c>
      <c r="AM16" s="42">
        <f>+(0)+(156)+(0)+(0)+(0)+(0)</f>
        <v>156</v>
      </c>
      <c r="AN16" s="35">
        <v>120</v>
      </c>
      <c r="AO16" s="24">
        <f t="shared" si="7"/>
        <v>192</v>
      </c>
      <c r="AP16" s="42">
        <f>+(0)+(0)+(0)+(0)+(0)+(30)</f>
        <v>30</v>
      </c>
      <c r="AQ16" s="42">
        <f t="shared" si="8"/>
        <v>0</v>
      </c>
      <c r="AR16" s="68">
        <v>120</v>
      </c>
      <c r="AS16" s="71">
        <f t="shared" si="9"/>
        <v>102</v>
      </c>
      <c r="AT16" s="60">
        <f>+(0)+(0)+(0)+(0)+(54)+(0)</f>
        <v>54</v>
      </c>
      <c r="AU16" s="60">
        <f t="shared" si="15"/>
        <v>0</v>
      </c>
      <c r="AV16" s="94">
        <v>120</v>
      </c>
      <c r="AW16" s="71">
        <f t="shared" si="10"/>
        <v>36</v>
      </c>
      <c r="AX16" s="60">
        <f>+(0)+(0)+(0)+(78)</f>
        <v>78</v>
      </c>
      <c r="AY16" s="113">
        <f>+(0)+(0)+(96)+(0)+(0)+(54.6)+(0)+(0)</f>
        <v>150.6</v>
      </c>
      <c r="AZ16" s="72">
        <v>120</v>
      </c>
      <c r="BA16" s="72">
        <f t="shared" si="20"/>
        <v>144.60000000000002</v>
      </c>
      <c r="BB16" s="135">
        <f>+(0)+(0)+(0)+(54)</f>
        <v>54</v>
      </c>
      <c r="BC16" s="135">
        <f>+(0)+(0)+(0)+(54.6)+(0)+(0)+(31.2)+(0)</f>
        <v>85.8</v>
      </c>
      <c r="BD16" s="50">
        <v>120</v>
      </c>
      <c r="BE16" s="50">
        <f t="shared" si="12"/>
        <v>164.40000000000003</v>
      </c>
      <c r="BG16" s="139">
        <v>0</v>
      </c>
      <c r="BH16" s="139">
        <v>0</v>
      </c>
      <c r="BI16" s="139">
        <v>0</v>
      </c>
      <c r="BJ16" s="139">
        <v>0</v>
      </c>
      <c r="BK16" s="139">
        <v>0</v>
      </c>
      <c r="BL16" s="139">
        <v>0</v>
      </c>
      <c r="BM16" s="139">
        <v>0</v>
      </c>
      <c r="BN16" s="139">
        <v>0</v>
      </c>
      <c r="BO16" s="139">
        <v>0</v>
      </c>
      <c r="BP16" s="139">
        <v>0</v>
      </c>
      <c r="BQ16" s="139">
        <v>0</v>
      </c>
      <c r="BR16" s="139">
        <v>0</v>
      </c>
      <c r="BS16" s="206">
        <v>120</v>
      </c>
      <c r="BT16" s="205">
        <f t="shared" si="14"/>
        <v>44.400000000000034</v>
      </c>
      <c r="BU16" s="153">
        <f t="shared" si="13"/>
        <v>1080</v>
      </c>
    </row>
    <row r="17" spans="1:73" ht="25.8" thickBot="1" x14ac:dyDescent="0.65">
      <c r="A17" s="53">
        <v>9</v>
      </c>
      <c r="B17" s="99" t="s">
        <v>12</v>
      </c>
      <c r="C17" s="100" t="s">
        <v>166</v>
      </c>
      <c r="D17" s="99" t="s">
        <v>98</v>
      </c>
      <c r="E17" s="101">
        <v>14</v>
      </c>
      <c r="F17" s="101">
        <f t="shared" si="0"/>
        <v>7466.6200000000008</v>
      </c>
      <c r="G17" s="101">
        <f t="shared" si="1"/>
        <v>3847.25</v>
      </c>
      <c r="H17" s="102">
        <f t="shared" si="2"/>
        <v>11313.87</v>
      </c>
      <c r="I17" s="103">
        <v>2</v>
      </c>
      <c r="J17" s="81">
        <v>2</v>
      </c>
      <c r="L17" s="96">
        <v>46216</v>
      </c>
      <c r="M17" s="97"/>
      <c r="N17" s="98" t="str">
        <f t="shared" ca="1" si="3"/>
        <v>O.K.</v>
      </c>
      <c r="Z17" s="3" t="s">
        <v>12</v>
      </c>
      <c r="AA17" s="36">
        <v>2197.25</v>
      </c>
      <c r="AB17" s="34">
        <v>150</v>
      </c>
      <c r="AC17" s="35">
        <v>150</v>
      </c>
      <c r="AD17" s="35">
        <v>150</v>
      </c>
      <c r="AE17" s="35">
        <v>150</v>
      </c>
      <c r="AF17" s="24">
        <v>342</v>
      </c>
      <c r="AG17" s="21">
        <f t="shared" si="4"/>
        <v>192</v>
      </c>
      <c r="AH17" s="42">
        <v>0</v>
      </c>
      <c r="AI17" s="42">
        <f>+(78)+(186)+(0)+(0)+(54)+(54)</f>
        <v>372</v>
      </c>
      <c r="AJ17" s="35">
        <v>150</v>
      </c>
      <c r="AK17" s="17">
        <f t="shared" si="5"/>
        <v>414</v>
      </c>
      <c r="AL17" s="42">
        <f t="shared" si="6"/>
        <v>0</v>
      </c>
      <c r="AM17" s="42">
        <f>+(0)+(108)+(0)+(0)+(0)+(0)</f>
        <v>108</v>
      </c>
      <c r="AN17" s="35">
        <v>150</v>
      </c>
      <c r="AO17" s="24">
        <f t="shared" si="7"/>
        <v>372</v>
      </c>
      <c r="AP17" s="42">
        <f>+(0)+(156)+(0)+(0)+(0)+(0)</f>
        <v>156</v>
      </c>
      <c r="AQ17" s="42">
        <f>+(0)+(30)+(30)+(0)+(108)+(0)</f>
        <v>168</v>
      </c>
      <c r="AR17" s="68">
        <v>150</v>
      </c>
      <c r="AS17" s="71">
        <f t="shared" si="9"/>
        <v>546</v>
      </c>
      <c r="AT17" s="60">
        <f>+(96)+(0)+(0)+(0)+(54)+(0)</f>
        <v>150</v>
      </c>
      <c r="AU17" s="60">
        <f t="shared" si="15"/>
        <v>0</v>
      </c>
      <c r="AV17" s="94">
        <v>150</v>
      </c>
      <c r="AW17" s="71">
        <f>+AS17+AT17+AU17-AV17</f>
        <v>546</v>
      </c>
      <c r="AX17" s="60">
        <f>+(157.8)+(0)+(0)+(0)</f>
        <v>157.80000000000001</v>
      </c>
      <c r="AY17" s="113">
        <f>+(0)+(0)+(0)+(0)+(0)+(108)+(156)+(0)</f>
        <v>264</v>
      </c>
      <c r="AZ17" s="72">
        <v>150</v>
      </c>
      <c r="BA17" s="72">
        <f>(+AW17+AX17+AY17)-AZ17</f>
        <v>817.8</v>
      </c>
      <c r="BB17" s="135">
        <f>+(0)+(0)+(0)+(78)</f>
        <v>78</v>
      </c>
      <c r="BC17" s="135">
        <f>+(30)+(78)+(0)+(0)+(0)+(0)+(0)+(0)</f>
        <v>108</v>
      </c>
      <c r="BD17" s="50">
        <v>150</v>
      </c>
      <c r="BE17" s="50">
        <f t="shared" si="12"/>
        <v>853.8</v>
      </c>
      <c r="BG17" s="139">
        <v>0</v>
      </c>
      <c r="BH17" s="139">
        <v>0</v>
      </c>
      <c r="BI17" s="139">
        <v>0</v>
      </c>
      <c r="BJ17" s="139">
        <v>0</v>
      </c>
      <c r="BK17" s="139">
        <v>0</v>
      </c>
      <c r="BL17" s="139">
        <v>0</v>
      </c>
      <c r="BM17" s="139">
        <v>0</v>
      </c>
      <c r="BN17" s="139">
        <v>0</v>
      </c>
      <c r="BO17" s="139">
        <v>0</v>
      </c>
      <c r="BP17" s="139">
        <v>0</v>
      </c>
      <c r="BQ17" s="139">
        <v>0</v>
      </c>
      <c r="BR17" s="139">
        <v>0</v>
      </c>
      <c r="BS17" s="206">
        <v>150</v>
      </c>
      <c r="BT17" s="205">
        <f t="shared" si="14"/>
        <v>703.8</v>
      </c>
      <c r="BU17" s="153">
        <f t="shared" si="13"/>
        <v>3847.25</v>
      </c>
    </row>
    <row r="18" spans="1:73" ht="25.8" thickBot="1" x14ac:dyDescent="0.65">
      <c r="A18" s="53">
        <v>10</v>
      </c>
      <c r="B18" s="143" t="s">
        <v>495</v>
      </c>
      <c r="C18" s="144" t="s">
        <v>165</v>
      </c>
      <c r="D18" s="145">
        <v>45057</v>
      </c>
      <c r="E18" s="183">
        <v>2</v>
      </c>
      <c r="F18" s="146">
        <f t="shared" si="0"/>
        <v>1066.6600000000001</v>
      </c>
      <c r="G18" s="146">
        <f t="shared" si="1"/>
        <v>138</v>
      </c>
      <c r="H18" s="147">
        <f t="shared" si="2"/>
        <v>1204.6600000000001</v>
      </c>
      <c r="I18" s="148">
        <v>14</v>
      </c>
      <c r="J18" s="81">
        <v>14</v>
      </c>
      <c r="L18" s="197">
        <v>46714</v>
      </c>
      <c r="M18" s="190"/>
      <c r="N18" s="151" t="str">
        <f ca="1">IF($B$2&lt;L18,"O.K.","A L E R T A ")</f>
        <v>O.K.</v>
      </c>
      <c r="Z18" s="3" t="s">
        <v>496</v>
      </c>
      <c r="AA18" s="63">
        <v>138</v>
      </c>
      <c r="AB18" s="34"/>
      <c r="AC18" s="35"/>
      <c r="AD18" s="35"/>
      <c r="AE18" s="35"/>
      <c r="AF18" s="24"/>
      <c r="AG18" s="21"/>
      <c r="AH18" s="42"/>
      <c r="AI18" s="42"/>
      <c r="AJ18" s="35"/>
      <c r="AK18" s="17"/>
      <c r="AL18" s="42"/>
      <c r="AM18" s="42"/>
      <c r="AN18" s="35"/>
      <c r="AO18" s="65"/>
      <c r="AP18" s="42"/>
      <c r="AQ18" s="42"/>
      <c r="AR18" s="114"/>
      <c r="AS18" s="187"/>
      <c r="AT18" s="60"/>
      <c r="AU18" s="60"/>
      <c r="AV18" s="94"/>
      <c r="AW18" s="187"/>
      <c r="AX18" s="140"/>
      <c r="AY18" s="140"/>
      <c r="AZ18" s="140"/>
      <c r="BA18" s="140"/>
      <c r="BB18" s="135">
        <f>+(0)+(0)+(0)+(0)</f>
        <v>0</v>
      </c>
      <c r="BC18" s="135">
        <f t="shared" ref="BC18" si="22">+(0)+(0)+(0)+(0)+(0)+(0)+(0)+(0)</f>
        <v>0</v>
      </c>
      <c r="BD18" s="50">
        <v>0</v>
      </c>
      <c r="BE18" s="50">
        <f t="shared" si="12"/>
        <v>0</v>
      </c>
      <c r="BG18" s="139">
        <v>0</v>
      </c>
      <c r="BH18" s="139">
        <v>0</v>
      </c>
      <c r="BI18" s="139">
        <v>0</v>
      </c>
      <c r="BJ18" s="139">
        <v>0</v>
      </c>
      <c r="BK18" s="139">
        <v>0</v>
      </c>
      <c r="BL18" s="139">
        <v>0</v>
      </c>
      <c r="BM18" s="139">
        <v>0</v>
      </c>
      <c r="BN18" s="139">
        <v>0</v>
      </c>
      <c r="BO18" s="139">
        <v>0</v>
      </c>
      <c r="BP18" s="139">
        <v>0</v>
      </c>
      <c r="BQ18" s="139">
        <v>0</v>
      </c>
      <c r="BR18" s="139">
        <v>0</v>
      </c>
      <c r="BS18" s="206">
        <v>0</v>
      </c>
      <c r="BT18" s="205">
        <f t="shared" si="14"/>
        <v>0</v>
      </c>
      <c r="BU18" s="153">
        <f t="shared" si="13"/>
        <v>138</v>
      </c>
    </row>
    <row r="19" spans="1:73" ht="25.8" thickBot="1" x14ac:dyDescent="0.65">
      <c r="A19" s="53">
        <v>11</v>
      </c>
      <c r="B19" s="169" t="s">
        <v>205</v>
      </c>
      <c r="C19" s="170" t="s">
        <v>168</v>
      </c>
      <c r="D19" s="171">
        <v>42736</v>
      </c>
      <c r="E19" s="172">
        <v>5</v>
      </c>
      <c r="F19" s="172">
        <f t="shared" si="0"/>
        <v>2666.65</v>
      </c>
      <c r="G19" s="172">
        <f t="shared" si="1"/>
        <v>1200</v>
      </c>
      <c r="H19" s="173">
        <f t="shared" si="2"/>
        <v>3866.65</v>
      </c>
      <c r="I19" s="174">
        <v>10</v>
      </c>
      <c r="J19" s="81">
        <v>10</v>
      </c>
      <c r="K19" s="208" t="s">
        <v>309</v>
      </c>
      <c r="L19" s="175">
        <v>46559</v>
      </c>
      <c r="M19" s="167"/>
      <c r="N19" s="168" t="str">
        <f t="shared" ca="1" si="3"/>
        <v>O.K.</v>
      </c>
      <c r="Z19" s="3" t="s">
        <v>205</v>
      </c>
      <c r="AA19" s="34">
        <v>0</v>
      </c>
      <c r="AB19" s="34">
        <v>0</v>
      </c>
      <c r="AC19" s="35">
        <v>120</v>
      </c>
      <c r="AD19" s="35">
        <v>120</v>
      </c>
      <c r="AE19" s="35">
        <v>120</v>
      </c>
      <c r="AF19" s="24">
        <v>234</v>
      </c>
      <c r="AG19" s="21">
        <f t="shared" si="4"/>
        <v>114</v>
      </c>
      <c r="AH19" s="42">
        <v>108.6</v>
      </c>
      <c r="AI19" s="42">
        <f>+(0)+(240.6)+(0)+(0)+(0)+(132)</f>
        <v>372.6</v>
      </c>
      <c r="AJ19" s="35">
        <v>120</v>
      </c>
      <c r="AK19" s="17">
        <f t="shared" si="5"/>
        <v>475.20000000000005</v>
      </c>
      <c r="AL19" s="42">
        <f>+(0)+(0)+(0)+(0)+(0)+(78)</f>
        <v>78</v>
      </c>
      <c r="AM19" s="42">
        <f>+(186)+(109.2)+(0)+(0)+(0)+(0)</f>
        <v>295.2</v>
      </c>
      <c r="AN19" s="35">
        <v>120</v>
      </c>
      <c r="AO19" s="24">
        <f t="shared" si="7"/>
        <v>728.40000000000009</v>
      </c>
      <c r="AP19" s="42">
        <f>+(0)+(0)+(0)+(54.6)+(0)+(0)</f>
        <v>54.6</v>
      </c>
      <c r="AQ19" s="42">
        <f>+(0)+(0)+(156)+(0)+(153.6)+(30)</f>
        <v>339.6</v>
      </c>
      <c r="AR19" s="68">
        <v>120</v>
      </c>
      <c r="AS19" s="71">
        <f t="shared" si="9"/>
        <v>1002.6000000000001</v>
      </c>
      <c r="AT19" s="60">
        <f>+(108)+(0)+(0)+(240.6)+(54)+(0)</f>
        <v>402.6</v>
      </c>
      <c r="AU19" s="60">
        <f>+(0)+(84)+(0)+(0)+(0)+(0)</f>
        <v>84</v>
      </c>
      <c r="AV19" s="94">
        <v>120</v>
      </c>
      <c r="AW19" s="71">
        <f t="shared" si="10"/>
        <v>1369.2000000000003</v>
      </c>
      <c r="AX19" s="60">
        <f>+(0)+(0)+(30)+(109.2)</f>
        <v>139.19999999999999</v>
      </c>
      <c r="AY19" s="113">
        <f>+(0)+(0)+(78)+(0)+(0)+(0)+(0)+(0)</f>
        <v>78</v>
      </c>
      <c r="AZ19" s="72">
        <v>120</v>
      </c>
      <c r="BA19" s="72">
        <f t="shared" ref="BA19:BA34" si="23">(+AW19+AX19+AY19)-AZ19</f>
        <v>1466.4000000000003</v>
      </c>
      <c r="BB19" s="135">
        <f t="shared" si="17"/>
        <v>0</v>
      </c>
      <c r="BC19" s="135">
        <f t="shared" si="18"/>
        <v>0</v>
      </c>
      <c r="BD19" s="50">
        <v>120</v>
      </c>
      <c r="BE19" s="50">
        <f t="shared" si="12"/>
        <v>1346.4000000000003</v>
      </c>
      <c r="BG19" s="139">
        <v>0</v>
      </c>
      <c r="BH19" s="139">
        <v>0</v>
      </c>
      <c r="BI19" s="139">
        <v>0</v>
      </c>
      <c r="BJ19" s="139">
        <v>0</v>
      </c>
      <c r="BK19" s="139">
        <v>0</v>
      </c>
      <c r="BL19" s="139">
        <v>0</v>
      </c>
      <c r="BM19" s="139">
        <v>0</v>
      </c>
      <c r="BN19" s="139">
        <v>0</v>
      </c>
      <c r="BO19" s="139">
        <v>0</v>
      </c>
      <c r="BP19" s="139">
        <v>0</v>
      </c>
      <c r="BQ19" s="139">
        <v>0</v>
      </c>
      <c r="BR19" s="139">
        <v>0</v>
      </c>
      <c r="BS19" s="206">
        <v>120</v>
      </c>
      <c r="BT19" s="205">
        <f t="shared" si="14"/>
        <v>1226.4000000000003</v>
      </c>
      <c r="BU19" s="153">
        <f t="shared" si="13"/>
        <v>1200</v>
      </c>
    </row>
    <row r="20" spans="1:73" ht="25.8" thickBot="1" x14ac:dyDescent="0.65">
      <c r="A20" s="53">
        <v>12</v>
      </c>
      <c r="B20" s="143" t="s">
        <v>357</v>
      </c>
      <c r="C20" s="144" t="s">
        <v>165</v>
      </c>
      <c r="D20" s="145">
        <v>44572</v>
      </c>
      <c r="E20" s="146">
        <v>2</v>
      </c>
      <c r="F20" s="146">
        <f t="shared" si="0"/>
        <v>1066.6600000000001</v>
      </c>
      <c r="G20" s="146">
        <f t="shared" si="1"/>
        <v>750</v>
      </c>
      <c r="H20" s="147">
        <f t="shared" si="2"/>
        <v>1816.66</v>
      </c>
      <c r="I20" s="148">
        <v>13</v>
      </c>
      <c r="J20" s="81">
        <v>13</v>
      </c>
      <c r="L20" s="149">
        <v>46692</v>
      </c>
      <c r="M20" s="150"/>
      <c r="N20" s="151" t="str">
        <f t="shared" ca="1" si="3"/>
        <v>O.K.</v>
      </c>
      <c r="Z20" s="3" t="s">
        <v>357</v>
      </c>
      <c r="AA20" s="34">
        <v>0</v>
      </c>
      <c r="AB20" s="34">
        <v>0</v>
      </c>
      <c r="AC20" s="35">
        <v>0</v>
      </c>
      <c r="AD20" s="35">
        <v>0</v>
      </c>
      <c r="AE20" s="35">
        <v>0</v>
      </c>
      <c r="AF20" s="24">
        <v>0</v>
      </c>
      <c r="AG20" s="21">
        <f t="shared" si="4"/>
        <v>0</v>
      </c>
      <c r="AH20" s="42">
        <v>0</v>
      </c>
      <c r="AI20" s="42">
        <v>0</v>
      </c>
      <c r="AJ20" s="35">
        <v>0</v>
      </c>
      <c r="AK20" s="17">
        <f t="shared" si="5"/>
        <v>0</v>
      </c>
      <c r="AL20" s="42">
        <f>+(0)+(0)+(0)+(0)+(0)+(0)</f>
        <v>0</v>
      </c>
      <c r="AM20" s="42">
        <f>+(0)+(0)+(0)+(0)+(0)+(0)</f>
        <v>0</v>
      </c>
      <c r="AN20" s="35">
        <v>0</v>
      </c>
      <c r="AO20" s="24">
        <f t="shared" si="7"/>
        <v>0</v>
      </c>
      <c r="AP20" s="42">
        <f>+(0)+(0)+(0)+(0)+(0)+(0)</f>
        <v>0</v>
      </c>
      <c r="AQ20" s="42">
        <f>+(241.2)+(30)+(186)+(0)+(78)+(96)</f>
        <v>631.20000000000005</v>
      </c>
      <c r="AR20" s="68">
        <v>150</v>
      </c>
      <c r="AS20" s="71">
        <f t="shared" si="9"/>
        <v>481.20000000000005</v>
      </c>
      <c r="AT20" s="60">
        <f>+(0)+(0)+(0)+(0)+(54)+(78)</f>
        <v>132</v>
      </c>
      <c r="AU20" s="60">
        <f t="shared" si="15"/>
        <v>0</v>
      </c>
      <c r="AV20" s="94">
        <v>150</v>
      </c>
      <c r="AW20" s="71">
        <f t="shared" si="10"/>
        <v>463.20000000000005</v>
      </c>
      <c r="AX20" s="60">
        <f>+(0)+(0)+(0)+(336)</f>
        <v>336</v>
      </c>
      <c r="AY20" s="113">
        <f>+(0)+(0)+(96)+(0)+(78)+(0)+(30)+(0)</f>
        <v>204</v>
      </c>
      <c r="AZ20" s="72">
        <v>150</v>
      </c>
      <c r="BA20" s="72">
        <f t="shared" si="23"/>
        <v>853.2</v>
      </c>
      <c r="BB20" s="135">
        <f t="shared" si="17"/>
        <v>0</v>
      </c>
      <c r="BC20" s="135">
        <f>+(0)+(96)+(0)+(0)+(0)+(54)+(0)+(0)</f>
        <v>150</v>
      </c>
      <c r="BD20" s="50">
        <v>150</v>
      </c>
      <c r="BE20" s="50">
        <f t="shared" si="12"/>
        <v>853.2</v>
      </c>
      <c r="BG20" s="139">
        <v>0</v>
      </c>
      <c r="BH20" s="207">
        <v>120</v>
      </c>
      <c r="BI20" s="139">
        <v>0</v>
      </c>
      <c r="BJ20" s="139">
        <v>0</v>
      </c>
      <c r="BK20" s="139">
        <v>0</v>
      </c>
      <c r="BL20" s="139">
        <v>0</v>
      </c>
      <c r="BM20" s="139">
        <v>0</v>
      </c>
      <c r="BN20" s="139">
        <v>0</v>
      </c>
      <c r="BO20" s="139">
        <v>0</v>
      </c>
      <c r="BP20" s="139">
        <v>0</v>
      </c>
      <c r="BQ20" s="139">
        <v>0</v>
      </c>
      <c r="BR20" s="139">
        <v>0</v>
      </c>
      <c r="BS20" s="206">
        <v>150</v>
      </c>
      <c r="BT20" s="205">
        <f t="shared" si="14"/>
        <v>823.2</v>
      </c>
      <c r="BU20" s="153">
        <f t="shared" si="13"/>
        <v>750</v>
      </c>
    </row>
    <row r="21" spans="1:73" ht="25.8" thickBot="1" x14ac:dyDescent="0.65">
      <c r="A21" s="53">
        <v>13</v>
      </c>
      <c r="B21" s="169" t="s">
        <v>442</v>
      </c>
      <c r="C21" s="170" t="s">
        <v>354</v>
      </c>
      <c r="D21" s="171">
        <v>45206</v>
      </c>
      <c r="E21" s="172">
        <v>0</v>
      </c>
      <c r="F21" s="172">
        <f t="shared" si="0"/>
        <v>0</v>
      </c>
      <c r="G21" s="172">
        <f t="shared" ref="G21" si="24">+BU21</f>
        <v>0</v>
      </c>
      <c r="H21" s="173">
        <f t="shared" ref="H21" si="25">+F21+G21</f>
        <v>0</v>
      </c>
      <c r="I21" s="174">
        <v>15</v>
      </c>
      <c r="J21" s="81">
        <v>15</v>
      </c>
      <c r="L21" s="124" t="s">
        <v>441</v>
      </c>
      <c r="M21" s="167"/>
      <c r="N21" s="168"/>
      <c r="Z21" s="3" t="s">
        <v>442</v>
      </c>
      <c r="AA21" s="34"/>
      <c r="AB21" s="34"/>
      <c r="AC21" s="35"/>
      <c r="AD21" s="35"/>
      <c r="AE21" s="35"/>
      <c r="AF21" s="24"/>
      <c r="AG21" s="21"/>
      <c r="AH21" s="42"/>
      <c r="AI21" s="42"/>
      <c r="AJ21" s="35"/>
      <c r="AK21" s="17"/>
      <c r="AL21" s="42"/>
      <c r="AM21" s="42"/>
      <c r="AN21" s="35"/>
      <c r="AO21" s="24"/>
      <c r="AP21" s="42"/>
      <c r="AQ21" s="42"/>
      <c r="AR21" s="68"/>
      <c r="AS21" s="71"/>
      <c r="AT21" s="60"/>
      <c r="AU21" s="60"/>
      <c r="AV21" s="94"/>
      <c r="AW21" s="71"/>
      <c r="AX21" s="60"/>
      <c r="AY21" s="113"/>
      <c r="AZ21" s="72"/>
      <c r="BA21" s="72"/>
      <c r="BB21" s="135">
        <f t="shared" si="17"/>
        <v>0</v>
      </c>
      <c r="BC21" s="135">
        <f t="shared" si="18"/>
        <v>0</v>
      </c>
      <c r="BD21" s="50">
        <v>0</v>
      </c>
      <c r="BE21" s="50">
        <f t="shared" si="12"/>
        <v>0</v>
      </c>
      <c r="BG21" s="139">
        <v>0</v>
      </c>
      <c r="BH21" s="139">
        <v>0</v>
      </c>
      <c r="BI21" s="139">
        <v>0</v>
      </c>
      <c r="BJ21" s="139">
        <v>0</v>
      </c>
      <c r="BK21" s="139">
        <v>0</v>
      </c>
      <c r="BL21" s="139">
        <v>0</v>
      </c>
      <c r="BM21" s="139">
        <v>0</v>
      </c>
      <c r="BN21" s="139">
        <v>0</v>
      </c>
      <c r="BO21" s="139">
        <v>0</v>
      </c>
      <c r="BP21" s="139">
        <v>0</v>
      </c>
      <c r="BQ21" s="139">
        <v>0</v>
      </c>
      <c r="BR21" s="139">
        <v>0</v>
      </c>
      <c r="BS21" s="206">
        <v>0</v>
      </c>
      <c r="BT21" s="205">
        <f t="shared" si="14"/>
        <v>0</v>
      </c>
      <c r="BU21" s="153">
        <f t="shared" si="13"/>
        <v>0</v>
      </c>
    </row>
    <row r="22" spans="1:73" ht="25.8" thickBot="1" x14ac:dyDescent="0.65">
      <c r="A22" s="53">
        <v>14</v>
      </c>
      <c r="B22" s="99" t="s">
        <v>320</v>
      </c>
      <c r="C22" s="100" t="s">
        <v>168</v>
      </c>
      <c r="D22" s="108">
        <v>44197</v>
      </c>
      <c r="E22" s="101">
        <v>2</v>
      </c>
      <c r="F22" s="101">
        <f t="shared" si="0"/>
        <v>1066.6600000000001</v>
      </c>
      <c r="G22" s="101">
        <f t="shared" si="1"/>
        <v>576</v>
      </c>
      <c r="H22" s="102">
        <f t="shared" si="2"/>
        <v>1642.66</v>
      </c>
      <c r="I22" s="103">
        <v>13</v>
      </c>
      <c r="J22" s="81">
        <v>13</v>
      </c>
      <c r="K22" s="208" t="s">
        <v>309</v>
      </c>
      <c r="L22" s="96">
        <v>46143</v>
      </c>
      <c r="M22" s="97"/>
      <c r="N22" s="98" t="str">
        <f t="shared" ca="1" si="3"/>
        <v>O.K.</v>
      </c>
      <c r="Z22" s="3" t="s">
        <v>320</v>
      </c>
      <c r="AA22" s="34">
        <v>0</v>
      </c>
      <c r="AB22" s="34">
        <v>0</v>
      </c>
      <c r="AC22" s="35">
        <v>0</v>
      </c>
      <c r="AD22" s="35">
        <v>0</v>
      </c>
      <c r="AE22" s="35">
        <v>0</v>
      </c>
      <c r="AF22" s="24">
        <v>0</v>
      </c>
      <c r="AG22" s="21">
        <f t="shared" si="4"/>
        <v>0</v>
      </c>
      <c r="AH22" s="42">
        <v>0</v>
      </c>
      <c r="AI22" s="42">
        <v>0</v>
      </c>
      <c r="AJ22" s="35">
        <v>0</v>
      </c>
      <c r="AK22" s="17">
        <f t="shared" si="5"/>
        <v>0</v>
      </c>
      <c r="AL22" s="42">
        <f>+(0)+(0)+(0)+(0)+(0)+(0)</f>
        <v>0</v>
      </c>
      <c r="AM22" s="42">
        <f>+(0)+(0)+(0)+(0)+(0)+(0)</f>
        <v>0</v>
      </c>
      <c r="AN22" s="35">
        <v>0</v>
      </c>
      <c r="AO22" s="24">
        <f t="shared" si="7"/>
        <v>0</v>
      </c>
      <c r="AP22" s="42">
        <f t="shared" si="8"/>
        <v>0</v>
      </c>
      <c r="AQ22" s="42">
        <f>+(0)+(0)+(0)+(0)+(0)+(96)</f>
        <v>96</v>
      </c>
      <c r="AR22" s="68">
        <v>96</v>
      </c>
      <c r="AS22" s="71">
        <f t="shared" si="9"/>
        <v>0</v>
      </c>
      <c r="AT22" s="60">
        <f>+(0)+(342)+(0)+(0)+(108)+(0)</f>
        <v>450</v>
      </c>
      <c r="AU22" s="60">
        <f>+(0)+(108)+(0)+(0)+(0)+(0)</f>
        <v>108</v>
      </c>
      <c r="AV22" s="94">
        <v>120</v>
      </c>
      <c r="AW22" s="71">
        <f t="shared" si="10"/>
        <v>438</v>
      </c>
      <c r="AX22" s="60">
        <f t="shared" ref="AX22:AY377" si="26">+(0)+(0)+(0)+(0)</f>
        <v>0</v>
      </c>
      <c r="AY22" s="113">
        <f>+(0)+(0)+(96)+(0)+(0)+(78)+(0)+(186)</f>
        <v>360</v>
      </c>
      <c r="AZ22" s="71">
        <v>120</v>
      </c>
      <c r="BA22" s="71">
        <f t="shared" si="23"/>
        <v>678</v>
      </c>
      <c r="BB22" s="135">
        <f>+(0)+(0)+(0)+(54)</f>
        <v>54</v>
      </c>
      <c r="BC22" s="135">
        <f>+(0)+(0)+(0)+(0)+(0)+(78)+(0)+(0)</f>
        <v>78</v>
      </c>
      <c r="BD22" s="50">
        <v>120</v>
      </c>
      <c r="BE22" s="50">
        <f t="shared" si="12"/>
        <v>690</v>
      </c>
      <c r="BG22" s="139">
        <v>0</v>
      </c>
      <c r="BH22" s="139">
        <v>0</v>
      </c>
      <c r="BI22" s="139">
        <v>0</v>
      </c>
      <c r="BJ22" s="139">
        <v>0</v>
      </c>
      <c r="BK22" s="139">
        <v>0</v>
      </c>
      <c r="BL22" s="139">
        <v>0</v>
      </c>
      <c r="BM22" s="139">
        <v>0</v>
      </c>
      <c r="BN22" s="139">
        <v>0</v>
      </c>
      <c r="BO22" s="139">
        <v>0</v>
      </c>
      <c r="BP22" s="139">
        <v>0</v>
      </c>
      <c r="BQ22" s="139">
        <v>0</v>
      </c>
      <c r="BR22" s="139">
        <v>0</v>
      </c>
      <c r="BS22" s="206">
        <v>120</v>
      </c>
      <c r="BT22" s="205">
        <f t="shared" si="14"/>
        <v>570</v>
      </c>
      <c r="BU22" s="153">
        <f t="shared" si="13"/>
        <v>576</v>
      </c>
    </row>
    <row r="23" spans="1:73" ht="25.8" thickBot="1" x14ac:dyDescent="0.65">
      <c r="A23" s="53">
        <v>15</v>
      </c>
      <c r="B23" s="99" t="s">
        <v>15</v>
      </c>
      <c r="C23" s="100" t="s">
        <v>162</v>
      </c>
      <c r="D23" s="99" t="s">
        <v>93</v>
      </c>
      <c r="E23" s="101">
        <v>9</v>
      </c>
      <c r="F23" s="101">
        <f t="shared" si="0"/>
        <v>4799.97</v>
      </c>
      <c r="G23" s="101">
        <f t="shared" si="1"/>
        <v>2310.6</v>
      </c>
      <c r="H23" s="102">
        <f t="shared" si="2"/>
        <v>7110.57</v>
      </c>
      <c r="I23" s="103">
        <v>6</v>
      </c>
      <c r="J23" s="81">
        <v>6</v>
      </c>
      <c r="L23" s="96">
        <v>46204</v>
      </c>
      <c r="M23" s="97"/>
      <c r="N23" s="98" t="str">
        <f t="shared" ca="1" si="3"/>
        <v>O.K.</v>
      </c>
      <c r="Z23" s="3" t="s">
        <v>15</v>
      </c>
      <c r="AA23" s="34">
        <v>1200</v>
      </c>
      <c r="AB23" s="34">
        <v>120</v>
      </c>
      <c r="AC23" s="35">
        <v>96</v>
      </c>
      <c r="AD23" s="35">
        <v>120</v>
      </c>
      <c r="AE23" s="35">
        <v>120</v>
      </c>
      <c r="AF23" s="24">
        <v>156</v>
      </c>
      <c r="AG23" s="21">
        <f t="shared" si="4"/>
        <v>36</v>
      </c>
      <c r="AH23" s="42">
        <v>0</v>
      </c>
      <c r="AI23" s="42">
        <f>+(0)+(0)+(0)+(0)+(54)+(54)</f>
        <v>108</v>
      </c>
      <c r="AJ23" s="35">
        <v>120</v>
      </c>
      <c r="AK23" s="17">
        <f t="shared" si="5"/>
        <v>24</v>
      </c>
      <c r="AL23" s="42">
        <f>+(0)+(0)+(0)+(0)+(0)+(0)</f>
        <v>0</v>
      </c>
      <c r="AM23" s="42">
        <f>+(0)+(156)+(0)+(0)+(0)+(0)</f>
        <v>156</v>
      </c>
      <c r="AN23" s="35">
        <v>120</v>
      </c>
      <c r="AO23" s="24">
        <f t="shared" si="7"/>
        <v>60</v>
      </c>
      <c r="AP23" s="42">
        <f t="shared" si="8"/>
        <v>0</v>
      </c>
      <c r="AQ23" s="42">
        <f>+(0)+(0)+(30)+(0)+(0)+(0)</f>
        <v>30</v>
      </c>
      <c r="AR23" s="68">
        <v>90</v>
      </c>
      <c r="AS23" s="71">
        <f t="shared" si="9"/>
        <v>0</v>
      </c>
      <c r="AT23" s="60">
        <f>+(0)+(0)+(0)+(0)+(132)+(30)</f>
        <v>162</v>
      </c>
      <c r="AU23" s="60">
        <f>+(0)+(96)+(0)+(0)+(0)+(0)</f>
        <v>96</v>
      </c>
      <c r="AV23" s="94">
        <v>120</v>
      </c>
      <c r="AW23" s="71">
        <f t="shared" si="10"/>
        <v>138</v>
      </c>
      <c r="AX23" s="60">
        <f t="shared" si="26"/>
        <v>0</v>
      </c>
      <c r="AY23" s="113">
        <f>+(0)+(0)+(0)+(0)+(0)+(0)+(54.6)+(12)</f>
        <v>66.599999999999994</v>
      </c>
      <c r="AZ23" s="71">
        <v>120</v>
      </c>
      <c r="BA23" s="71">
        <f t="shared" si="23"/>
        <v>84.6</v>
      </c>
      <c r="BB23" s="135">
        <f t="shared" si="17"/>
        <v>0</v>
      </c>
      <c r="BC23" s="135">
        <f t="shared" si="18"/>
        <v>0</v>
      </c>
      <c r="BD23" s="50">
        <v>84.6</v>
      </c>
      <c r="BE23" s="50">
        <f t="shared" si="12"/>
        <v>0</v>
      </c>
      <c r="BG23" s="139">
        <v>0</v>
      </c>
      <c r="BH23" s="139">
        <v>0</v>
      </c>
      <c r="BI23" s="139">
        <v>0</v>
      </c>
      <c r="BJ23" s="139">
        <v>0</v>
      </c>
      <c r="BK23" s="139">
        <v>0</v>
      </c>
      <c r="BL23" s="139">
        <v>0</v>
      </c>
      <c r="BM23" s="139">
        <v>0</v>
      </c>
      <c r="BN23" s="139">
        <v>0</v>
      </c>
      <c r="BO23" s="139">
        <v>0</v>
      </c>
      <c r="BP23" s="139">
        <v>0</v>
      </c>
      <c r="BQ23" s="139">
        <v>0</v>
      </c>
      <c r="BR23" s="139">
        <v>0</v>
      </c>
      <c r="BS23" s="206">
        <v>0</v>
      </c>
      <c r="BT23" s="205">
        <f t="shared" si="14"/>
        <v>0</v>
      </c>
      <c r="BU23" s="153">
        <f t="shared" si="13"/>
        <v>2310.6</v>
      </c>
    </row>
    <row r="24" spans="1:73" ht="25.8" thickBot="1" x14ac:dyDescent="0.65">
      <c r="A24" s="53">
        <v>16</v>
      </c>
      <c r="B24" s="104" t="s">
        <v>16</v>
      </c>
      <c r="C24" s="100" t="s">
        <v>162</v>
      </c>
      <c r="D24" s="104" t="s">
        <v>101</v>
      </c>
      <c r="E24" s="101">
        <v>9</v>
      </c>
      <c r="F24" s="101">
        <f t="shared" si="0"/>
        <v>4799.97</v>
      </c>
      <c r="G24" s="101">
        <f t="shared" si="1"/>
        <v>2190.6</v>
      </c>
      <c r="H24" s="102">
        <f t="shared" si="2"/>
        <v>6990.57</v>
      </c>
      <c r="I24" s="103">
        <v>6</v>
      </c>
      <c r="J24" s="81">
        <v>6</v>
      </c>
      <c r="L24" s="96">
        <v>46321</v>
      </c>
      <c r="M24" s="97"/>
      <c r="N24" s="98" t="str">
        <f t="shared" ca="1" si="3"/>
        <v>O.K.</v>
      </c>
      <c r="Z24" s="3" t="s">
        <v>16</v>
      </c>
      <c r="AA24" s="34">
        <v>1050</v>
      </c>
      <c r="AB24" s="34">
        <v>96</v>
      </c>
      <c r="AC24" s="35">
        <v>108</v>
      </c>
      <c r="AD24" s="35">
        <v>120</v>
      </c>
      <c r="AE24" s="35">
        <v>120</v>
      </c>
      <c r="AF24" s="24">
        <v>210.6</v>
      </c>
      <c r="AG24" s="21">
        <f t="shared" si="4"/>
        <v>90.6</v>
      </c>
      <c r="AH24" s="42">
        <v>0</v>
      </c>
      <c r="AI24" s="42">
        <f>+(0)+(78)+(132)+(0)+(54)+(54)</f>
        <v>318</v>
      </c>
      <c r="AJ24" s="35">
        <v>120</v>
      </c>
      <c r="AK24" s="17">
        <f t="shared" si="5"/>
        <v>288.60000000000002</v>
      </c>
      <c r="AL24" s="42">
        <f>+(0)+(0)+(0)+(0)+(0)+(0)</f>
        <v>0</v>
      </c>
      <c r="AM24" s="42">
        <f>+(0)+(156)+(0)+(0)+(78)+(0)</f>
        <v>234</v>
      </c>
      <c r="AN24" s="35">
        <v>120</v>
      </c>
      <c r="AO24" s="24">
        <f t="shared" si="7"/>
        <v>402.6</v>
      </c>
      <c r="AP24" s="42">
        <f t="shared" si="8"/>
        <v>0</v>
      </c>
      <c r="AQ24" s="42">
        <f t="shared" si="8"/>
        <v>0</v>
      </c>
      <c r="AR24" s="68">
        <v>120</v>
      </c>
      <c r="AS24" s="71">
        <f t="shared" si="9"/>
        <v>282.60000000000002</v>
      </c>
      <c r="AT24" s="60">
        <f>+(0)+(0)+(0)+(0)+(54)+(0)</f>
        <v>54</v>
      </c>
      <c r="AU24" s="60">
        <f t="shared" si="15"/>
        <v>0</v>
      </c>
      <c r="AV24" s="94">
        <v>120</v>
      </c>
      <c r="AW24" s="71">
        <f t="shared" si="10"/>
        <v>216.60000000000002</v>
      </c>
      <c r="AX24" s="60">
        <f t="shared" si="26"/>
        <v>0</v>
      </c>
      <c r="AY24" s="113">
        <f t="shared" si="16"/>
        <v>0</v>
      </c>
      <c r="AZ24" s="72">
        <v>120</v>
      </c>
      <c r="BA24" s="72">
        <f t="shared" si="23"/>
        <v>96.600000000000023</v>
      </c>
      <c r="BB24" s="135">
        <f t="shared" si="17"/>
        <v>0</v>
      </c>
      <c r="BC24" s="135">
        <f t="shared" si="18"/>
        <v>0</v>
      </c>
      <c r="BD24" s="50">
        <v>96.6</v>
      </c>
      <c r="BE24" s="50">
        <f t="shared" si="12"/>
        <v>0</v>
      </c>
      <c r="BG24" s="139">
        <v>0</v>
      </c>
      <c r="BH24" s="139">
        <v>0</v>
      </c>
      <c r="BI24" s="139">
        <v>0</v>
      </c>
      <c r="BJ24" s="139">
        <v>0</v>
      </c>
      <c r="BK24" s="139">
        <v>0</v>
      </c>
      <c r="BL24" s="139">
        <v>0</v>
      </c>
      <c r="BM24" s="139">
        <v>0</v>
      </c>
      <c r="BN24" s="139">
        <v>0</v>
      </c>
      <c r="BO24" s="139">
        <v>0</v>
      </c>
      <c r="BP24" s="139">
        <v>0</v>
      </c>
      <c r="BQ24" s="139">
        <v>0</v>
      </c>
      <c r="BR24" s="139">
        <v>0</v>
      </c>
      <c r="BS24" s="206">
        <v>0</v>
      </c>
      <c r="BT24" s="205">
        <f t="shared" si="14"/>
        <v>0</v>
      </c>
      <c r="BU24" s="153">
        <f t="shared" si="13"/>
        <v>2190.6</v>
      </c>
    </row>
    <row r="25" spans="1:73" ht="25.8" thickBot="1" x14ac:dyDescent="0.65">
      <c r="A25" s="53">
        <v>17</v>
      </c>
      <c r="B25" s="99" t="s">
        <v>259</v>
      </c>
      <c r="C25" s="100" t="s">
        <v>166</v>
      </c>
      <c r="D25" s="105">
        <v>43423</v>
      </c>
      <c r="E25" s="101">
        <v>3</v>
      </c>
      <c r="F25" s="101">
        <f t="shared" si="0"/>
        <v>1599.9900000000002</v>
      </c>
      <c r="G25" s="101">
        <f t="shared" si="1"/>
        <v>1488</v>
      </c>
      <c r="H25" s="102">
        <f t="shared" si="2"/>
        <v>3087.9900000000002</v>
      </c>
      <c r="I25" s="103">
        <v>12</v>
      </c>
      <c r="J25" s="81">
        <v>12</v>
      </c>
      <c r="L25" s="96">
        <v>46345</v>
      </c>
      <c r="M25" s="97"/>
      <c r="N25" s="98" t="str">
        <f t="shared" ca="1" si="3"/>
        <v>O.K.</v>
      </c>
      <c r="Z25" s="3" t="s">
        <v>259</v>
      </c>
      <c r="AA25" s="34">
        <v>288</v>
      </c>
      <c r="AB25" s="34">
        <v>0</v>
      </c>
      <c r="AC25" s="35">
        <v>0</v>
      </c>
      <c r="AD25" s="35">
        <v>0</v>
      </c>
      <c r="AE25" s="35">
        <v>150</v>
      </c>
      <c r="AF25" s="24">
        <v>564</v>
      </c>
      <c r="AG25" s="21">
        <f t="shared" si="4"/>
        <v>414</v>
      </c>
      <c r="AH25" s="42">
        <v>156</v>
      </c>
      <c r="AI25" s="42">
        <f>+(0)+(0)+(0)+(0)+(0)+(145.8)</f>
        <v>145.80000000000001</v>
      </c>
      <c r="AJ25" s="35">
        <v>150</v>
      </c>
      <c r="AK25" s="17">
        <f t="shared" si="5"/>
        <v>565.79999999999995</v>
      </c>
      <c r="AL25" s="42">
        <f>+(0)+(0)+(0)+(0)+(0)+(0)</f>
        <v>0</v>
      </c>
      <c r="AM25" s="42">
        <f>+(78)+(0)+(0)+(0)+(78)+(0)</f>
        <v>156</v>
      </c>
      <c r="AN25" s="35">
        <v>150</v>
      </c>
      <c r="AO25" s="24">
        <f t="shared" si="7"/>
        <v>571.79999999999995</v>
      </c>
      <c r="AP25" s="42">
        <f>+(0)+(78)+(0)+(0)+(0)+(0)</f>
        <v>78</v>
      </c>
      <c r="AQ25" s="42">
        <f t="shared" si="8"/>
        <v>0</v>
      </c>
      <c r="AR25" s="68">
        <v>150</v>
      </c>
      <c r="AS25" s="71">
        <f t="shared" si="9"/>
        <v>499.79999999999995</v>
      </c>
      <c r="AT25" s="60">
        <f t="shared" si="15"/>
        <v>0</v>
      </c>
      <c r="AU25" s="60">
        <f t="shared" si="15"/>
        <v>0</v>
      </c>
      <c r="AV25" s="94">
        <v>150</v>
      </c>
      <c r="AW25" s="71">
        <f t="shared" si="10"/>
        <v>349.79999999999995</v>
      </c>
      <c r="AX25" s="60">
        <f t="shared" si="26"/>
        <v>0</v>
      </c>
      <c r="AY25" s="113">
        <f t="shared" si="16"/>
        <v>0</v>
      </c>
      <c r="AZ25" s="72">
        <v>150</v>
      </c>
      <c r="BA25" s="72">
        <f t="shared" si="23"/>
        <v>199.79999999999995</v>
      </c>
      <c r="BB25" s="135">
        <f t="shared" si="17"/>
        <v>0</v>
      </c>
      <c r="BC25" s="135">
        <f>+(0)+(0)+(0)+(0)+(0)+(0)+(162.6)+(0)</f>
        <v>162.6</v>
      </c>
      <c r="BD25" s="50">
        <v>150</v>
      </c>
      <c r="BE25" s="50">
        <f t="shared" si="12"/>
        <v>212.39999999999998</v>
      </c>
      <c r="BG25" s="139">
        <v>0</v>
      </c>
      <c r="BH25" s="139">
        <v>0</v>
      </c>
      <c r="BI25" s="139">
        <v>0</v>
      </c>
      <c r="BJ25" s="139">
        <v>0</v>
      </c>
      <c r="BK25" s="139">
        <v>0</v>
      </c>
      <c r="BL25" s="139">
        <v>0</v>
      </c>
      <c r="BM25" s="139">
        <v>0</v>
      </c>
      <c r="BN25" s="139">
        <v>0</v>
      </c>
      <c r="BO25" s="139">
        <v>0</v>
      </c>
      <c r="BP25" s="139">
        <v>0</v>
      </c>
      <c r="BQ25" s="139">
        <v>0</v>
      </c>
      <c r="BR25" s="139">
        <v>0</v>
      </c>
      <c r="BS25" s="206">
        <v>150</v>
      </c>
      <c r="BT25" s="205">
        <f t="shared" si="14"/>
        <v>62.399999999999977</v>
      </c>
      <c r="BU25" s="153">
        <f t="shared" si="13"/>
        <v>1488</v>
      </c>
    </row>
    <row r="26" spans="1:73" ht="25.8" thickBot="1" x14ac:dyDescent="0.65">
      <c r="A26" s="53">
        <v>18</v>
      </c>
      <c r="B26" s="104" t="s">
        <v>17</v>
      </c>
      <c r="C26" s="100" t="s">
        <v>167</v>
      </c>
      <c r="D26" s="104" t="s">
        <v>102</v>
      </c>
      <c r="E26" s="101">
        <v>7</v>
      </c>
      <c r="F26" s="101">
        <f t="shared" si="0"/>
        <v>3733.3100000000004</v>
      </c>
      <c r="G26" s="101">
        <f t="shared" si="1"/>
        <v>1941</v>
      </c>
      <c r="H26" s="102">
        <f t="shared" si="2"/>
        <v>5674.31</v>
      </c>
      <c r="I26" s="103">
        <v>8</v>
      </c>
      <c r="J26" s="81">
        <v>8</v>
      </c>
      <c r="L26" s="96">
        <v>46082</v>
      </c>
      <c r="M26" s="97"/>
      <c r="N26" s="98" t="str">
        <f t="shared" ca="1" si="3"/>
        <v>O.K.</v>
      </c>
      <c r="Z26" s="3" t="s">
        <v>17</v>
      </c>
      <c r="AA26" s="34">
        <v>645</v>
      </c>
      <c r="AB26" s="34">
        <v>120</v>
      </c>
      <c r="AC26" s="35">
        <v>96</v>
      </c>
      <c r="AD26" s="35">
        <v>120</v>
      </c>
      <c r="AE26" s="35">
        <v>120</v>
      </c>
      <c r="AF26" s="24">
        <v>234</v>
      </c>
      <c r="AG26" s="21">
        <f t="shared" si="4"/>
        <v>114</v>
      </c>
      <c r="AH26" s="42">
        <f>78+75.6</f>
        <v>153.6</v>
      </c>
      <c r="AI26" s="42">
        <f>+(0)+(78)+(0)+(0)+(0)+(54)</f>
        <v>132</v>
      </c>
      <c r="AJ26" s="35">
        <v>120</v>
      </c>
      <c r="AK26" s="17">
        <f t="shared" si="5"/>
        <v>279.60000000000002</v>
      </c>
      <c r="AL26" s="42">
        <f>+(0)+(0)+(0)+(0)+(30)+(0)</f>
        <v>30</v>
      </c>
      <c r="AM26" s="42">
        <f>+(0)+(0)+(0)+(0)+(0)+(0)</f>
        <v>0</v>
      </c>
      <c r="AN26" s="35">
        <v>120</v>
      </c>
      <c r="AO26" s="24">
        <f t="shared" si="7"/>
        <v>189.60000000000002</v>
      </c>
      <c r="AP26" s="42">
        <f t="shared" ref="AP26:AQ354" si="27">+(0)+(0)+(0)+(0)+(0)+(0)</f>
        <v>0</v>
      </c>
      <c r="AQ26" s="42">
        <f t="shared" si="27"/>
        <v>0</v>
      </c>
      <c r="AR26" s="68">
        <v>120</v>
      </c>
      <c r="AS26" s="71">
        <f t="shared" si="9"/>
        <v>69.600000000000023</v>
      </c>
      <c r="AT26" s="60">
        <f>+(0)+(0)+(0)+(0)+(54)+(78)</f>
        <v>132</v>
      </c>
      <c r="AU26" s="60">
        <f>+(120)+(0)+(0)+(0)+(0)+(0)</f>
        <v>120</v>
      </c>
      <c r="AV26" s="94">
        <v>120</v>
      </c>
      <c r="AW26" s="71">
        <f t="shared" si="10"/>
        <v>201.60000000000002</v>
      </c>
      <c r="AX26" s="60">
        <f>+(0)+(120)+(0)+(0)</f>
        <v>120</v>
      </c>
      <c r="AY26" s="113">
        <f>+(0)+(0)+(0)+(0)+(0)+(78)+(54.6)+(0)</f>
        <v>132.6</v>
      </c>
      <c r="AZ26" s="72">
        <v>120</v>
      </c>
      <c r="BA26" s="72">
        <f t="shared" si="23"/>
        <v>334.20000000000005</v>
      </c>
      <c r="BB26" s="135">
        <f t="shared" si="17"/>
        <v>0</v>
      </c>
      <c r="BC26" s="135">
        <f t="shared" si="18"/>
        <v>0</v>
      </c>
      <c r="BD26" s="50">
        <v>120</v>
      </c>
      <c r="BE26" s="50">
        <f t="shared" si="12"/>
        <v>214.20000000000005</v>
      </c>
      <c r="BG26" s="139">
        <v>0</v>
      </c>
      <c r="BH26" s="139">
        <v>0</v>
      </c>
      <c r="BI26" s="139">
        <v>0</v>
      </c>
      <c r="BJ26" s="139">
        <v>0</v>
      </c>
      <c r="BK26" s="139">
        <v>0</v>
      </c>
      <c r="BL26" s="139">
        <v>0</v>
      </c>
      <c r="BM26" s="139">
        <v>0</v>
      </c>
      <c r="BN26" s="139">
        <v>0</v>
      </c>
      <c r="BO26" s="139">
        <v>0</v>
      </c>
      <c r="BP26" s="139">
        <v>0</v>
      </c>
      <c r="BQ26" s="139">
        <v>0</v>
      </c>
      <c r="BR26" s="139">
        <v>0</v>
      </c>
      <c r="BS26" s="206">
        <v>120</v>
      </c>
      <c r="BT26" s="205">
        <f t="shared" si="14"/>
        <v>94.200000000000045</v>
      </c>
      <c r="BU26" s="153">
        <f t="shared" si="13"/>
        <v>1941</v>
      </c>
    </row>
    <row r="27" spans="1:73" ht="25.8" thickBot="1" x14ac:dyDescent="0.65">
      <c r="A27" s="53">
        <v>19</v>
      </c>
      <c r="B27" s="99" t="s">
        <v>376</v>
      </c>
      <c r="C27" s="100" t="s">
        <v>164</v>
      </c>
      <c r="D27" s="105">
        <v>44792</v>
      </c>
      <c r="E27" s="101">
        <v>1</v>
      </c>
      <c r="F27" s="101">
        <f t="shared" ref="F27:F28" si="28">+E27*$C$1</f>
        <v>533.33000000000004</v>
      </c>
      <c r="G27" s="101">
        <f t="shared" ref="G27:G28" si="29">+BU27</f>
        <v>480</v>
      </c>
      <c r="H27" s="102">
        <f t="shared" ref="H27:H28" si="30">+F27+G27</f>
        <v>1013.33</v>
      </c>
      <c r="I27" s="103">
        <v>14</v>
      </c>
      <c r="J27" s="81">
        <v>14</v>
      </c>
      <c r="L27" s="96">
        <v>46253</v>
      </c>
      <c r="M27" s="97"/>
      <c r="N27" s="98" t="str">
        <f t="shared" ca="1" si="3"/>
        <v>O.K.</v>
      </c>
      <c r="Z27" s="3" t="s">
        <v>376</v>
      </c>
      <c r="AA27" s="34">
        <v>0</v>
      </c>
      <c r="AB27" s="34">
        <v>0</v>
      </c>
      <c r="AC27" s="35">
        <v>0</v>
      </c>
      <c r="AD27" s="35">
        <v>0</v>
      </c>
      <c r="AE27" s="35">
        <v>0</v>
      </c>
      <c r="AF27" s="24">
        <v>0</v>
      </c>
      <c r="AG27" s="21">
        <f t="shared" si="4"/>
        <v>0</v>
      </c>
      <c r="AH27" s="42">
        <v>0</v>
      </c>
      <c r="AI27" s="42">
        <v>0</v>
      </c>
      <c r="AJ27" s="35">
        <v>0</v>
      </c>
      <c r="AK27" s="17">
        <f t="shared" si="5"/>
        <v>0</v>
      </c>
      <c r="AL27" s="42">
        <v>0</v>
      </c>
      <c r="AM27" s="42">
        <v>0</v>
      </c>
      <c r="AN27" s="35">
        <v>0</v>
      </c>
      <c r="AO27" s="24">
        <f t="shared" si="7"/>
        <v>0</v>
      </c>
      <c r="AP27" s="42">
        <f t="shared" si="27"/>
        <v>0</v>
      </c>
      <c r="AQ27" s="42">
        <f t="shared" si="27"/>
        <v>0</v>
      </c>
      <c r="AR27" s="68">
        <v>0</v>
      </c>
      <c r="AS27" s="71">
        <f t="shared" si="9"/>
        <v>0</v>
      </c>
      <c r="AT27" s="60">
        <f>+(0)+(0)+(0)+(0)+(132)+(0)</f>
        <v>132</v>
      </c>
      <c r="AU27" s="60">
        <f t="shared" ref="AT27:AU338" si="31">+(0)+(0)+(0)+(0)+(0)+(0)</f>
        <v>0</v>
      </c>
      <c r="AV27" s="94">
        <v>120</v>
      </c>
      <c r="AW27" s="71">
        <f t="shared" si="10"/>
        <v>12</v>
      </c>
      <c r="AX27" s="60">
        <f>+(0)+(0)+(0)+(78)</f>
        <v>78</v>
      </c>
      <c r="AY27" s="113">
        <f>+(0)+(0)+(96)+(0)+(0)+(78)+(54.6)+(42)</f>
        <v>270.60000000000002</v>
      </c>
      <c r="AZ27" s="71">
        <v>120</v>
      </c>
      <c r="BA27" s="71">
        <f t="shared" si="23"/>
        <v>240.60000000000002</v>
      </c>
      <c r="BB27" s="135">
        <f>+(0)+(0)+(0)+(21)</f>
        <v>21</v>
      </c>
      <c r="BC27" s="135">
        <f>+(0)+(0)+(0)+(0)+(0)+(0)+(78)+(0)</f>
        <v>78</v>
      </c>
      <c r="BD27" s="50">
        <v>120</v>
      </c>
      <c r="BE27" s="50">
        <f t="shared" si="12"/>
        <v>219.60000000000002</v>
      </c>
      <c r="BG27" s="139">
        <v>0</v>
      </c>
      <c r="BH27" s="139">
        <v>0</v>
      </c>
      <c r="BI27" s="139">
        <v>0</v>
      </c>
      <c r="BJ27" s="139">
        <v>0</v>
      </c>
      <c r="BK27" s="139">
        <v>0</v>
      </c>
      <c r="BL27" s="139">
        <v>0</v>
      </c>
      <c r="BM27" s="139">
        <v>0</v>
      </c>
      <c r="BN27" s="139">
        <v>0</v>
      </c>
      <c r="BO27" s="139">
        <v>0</v>
      </c>
      <c r="BP27" s="139">
        <v>0</v>
      </c>
      <c r="BQ27" s="139">
        <v>0</v>
      </c>
      <c r="BR27" s="139">
        <v>0</v>
      </c>
      <c r="BS27" s="206">
        <v>120</v>
      </c>
      <c r="BT27" s="205">
        <f t="shared" si="14"/>
        <v>99.600000000000023</v>
      </c>
      <c r="BU27" s="153">
        <f t="shared" si="13"/>
        <v>480</v>
      </c>
    </row>
    <row r="28" spans="1:73" ht="25.8" thickBot="1" x14ac:dyDescent="0.65">
      <c r="A28" s="53">
        <v>20</v>
      </c>
      <c r="B28" s="143" t="s">
        <v>475</v>
      </c>
      <c r="C28" s="144" t="s">
        <v>165</v>
      </c>
      <c r="D28" s="152">
        <v>45691</v>
      </c>
      <c r="E28" s="146">
        <v>3</v>
      </c>
      <c r="F28" s="146">
        <f t="shared" si="28"/>
        <v>1599.9900000000002</v>
      </c>
      <c r="G28" s="146">
        <f t="shared" si="29"/>
        <v>2456.6</v>
      </c>
      <c r="H28" s="147">
        <f t="shared" si="30"/>
        <v>4056.59</v>
      </c>
      <c r="I28" s="148">
        <v>11</v>
      </c>
      <c r="J28" s="81">
        <v>11</v>
      </c>
      <c r="L28" s="149">
        <v>46677</v>
      </c>
      <c r="M28" s="150"/>
      <c r="N28" s="151" t="str">
        <f t="shared" ca="1" si="3"/>
        <v>O.K.</v>
      </c>
      <c r="Z28" s="3" t="str">
        <f>+B28</f>
        <v>BENAVIDES LEON AYLEEN</v>
      </c>
      <c r="AA28" s="70">
        <v>2156.6</v>
      </c>
      <c r="AB28" s="34"/>
      <c r="AC28" s="35"/>
      <c r="AD28" s="35"/>
      <c r="AE28" s="35"/>
      <c r="AF28" s="24"/>
      <c r="AG28" s="21"/>
      <c r="AH28" s="42"/>
      <c r="AI28" s="42"/>
      <c r="AJ28" s="35"/>
      <c r="AK28" s="17"/>
      <c r="AL28" s="42"/>
      <c r="AM28" s="42"/>
      <c r="AN28" s="35"/>
      <c r="AO28" s="24"/>
      <c r="AP28" s="42"/>
      <c r="AQ28" s="42"/>
      <c r="AR28" s="68"/>
      <c r="AS28" s="71"/>
      <c r="AT28" s="60"/>
      <c r="AU28" s="60"/>
      <c r="AV28" s="94"/>
      <c r="AW28" s="71"/>
      <c r="AX28" s="60"/>
      <c r="AY28" s="113"/>
      <c r="AZ28" s="71"/>
      <c r="BA28" s="71"/>
      <c r="BB28" s="135">
        <f t="shared" si="17"/>
        <v>0</v>
      </c>
      <c r="BC28" s="135">
        <f>+(0)+(54)+(78)+(0)+(0)+(0)+(120)+(0)</f>
        <v>252</v>
      </c>
      <c r="BD28" s="50">
        <v>150</v>
      </c>
      <c r="BE28" s="50">
        <f t="shared" ref="BE28" si="32">(BA28+BB28+BC28)-BD28</f>
        <v>102</v>
      </c>
      <c r="BG28" s="207">
        <v>78</v>
      </c>
      <c r="BH28" s="139">
        <v>0</v>
      </c>
      <c r="BI28" s="139">
        <v>0</v>
      </c>
      <c r="BJ28" s="139">
        <v>0</v>
      </c>
      <c r="BK28" s="139">
        <v>0</v>
      </c>
      <c r="BL28" s="139">
        <v>0</v>
      </c>
      <c r="BM28" s="139">
        <v>0</v>
      </c>
      <c r="BN28" s="139">
        <v>0</v>
      </c>
      <c r="BO28" s="139">
        <v>0</v>
      </c>
      <c r="BP28" s="139">
        <v>0</v>
      </c>
      <c r="BQ28" s="139">
        <v>0</v>
      </c>
      <c r="BR28" s="139">
        <v>0</v>
      </c>
      <c r="BS28" s="206">
        <v>150</v>
      </c>
      <c r="BT28" s="205">
        <f t="shared" si="14"/>
        <v>30</v>
      </c>
      <c r="BU28" s="153">
        <f t="shared" si="13"/>
        <v>2456.6</v>
      </c>
    </row>
    <row r="29" spans="1:73" ht="25.8" thickBot="1" x14ac:dyDescent="0.65">
      <c r="A29" s="53">
        <v>21</v>
      </c>
      <c r="B29" s="104" t="s">
        <v>18</v>
      </c>
      <c r="C29" s="100" t="s">
        <v>164</v>
      </c>
      <c r="D29" s="99" t="s">
        <v>192</v>
      </c>
      <c r="E29" s="101">
        <v>5</v>
      </c>
      <c r="F29" s="101">
        <f t="shared" si="0"/>
        <v>2666.65</v>
      </c>
      <c r="G29" s="101">
        <f t="shared" si="1"/>
        <v>890.4</v>
      </c>
      <c r="H29" s="102">
        <f t="shared" si="2"/>
        <v>3557.05</v>
      </c>
      <c r="I29" s="103">
        <v>11</v>
      </c>
      <c r="J29" s="81">
        <v>11</v>
      </c>
      <c r="L29" s="96">
        <v>46245</v>
      </c>
      <c r="M29" s="97"/>
      <c r="N29" s="98" t="str">
        <f t="shared" ca="1" si="3"/>
        <v>O.K.</v>
      </c>
      <c r="Z29" s="3" t="s">
        <v>18</v>
      </c>
      <c r="AA29" s="34">
        <v>120</v>
      </c>
      <c r="AB29" s="34">
        <v>120</v>
      </c>
      <c r="AC29" s="35">
        <v>96</v>
      </c>
      <c r="AD29" s="35">
        <v>115.8</v>
      </c>
      <c r="AE29" s="35">
        <v>120</v>
      </c>
      <c r="AF29" s="24">
        <v>156</v>
      </c>
      <c r="AG29" s="21">
        <f t="shared" si="4"/>
        <v>36</v>
      </c>
      <c r="AH29" s="42">
        <v>108.6</v>
      </c>
      <c r="AI29" s="42">
        <f>+(0)+(78)+(0)+(0)+(0)+(0)</f>
        <v>78</v>
      </c>
      <c r="AJ29" s="35">
        <v>120</v>
      </c>
      <c r="AK29" s="17">
        <f t="shared" si="5"/>
        <v>102.6</v>
      </c>
      <c r="AL29" s="42">
        <f t="shared" ref="AL29:AL354" si="33">+(0)+(0)+(0)+(0)+(0)+(0)</f>
        <v>0</v>
      </c>
      <c r="AM29" s="42">
        <f>+(0)+(0)+(0)+(0)+(0)+(0)</f>
        <v>0</v>
      </c>
      <c r="AN29" s="35">
        <v>102.6</v>
      </c>
      <c r="AO29" s="24">
        <f t="shared" si="7"/>
        <v>0</v>
      </c>
      <c r="AP29" s="42">
        <f t="shared" si="27"/>
        <v>0</v>
      </c>
      <c r="AQ29" s="42">
        <f t="shared" si="27"/>
        <v>0</v>
      </c>
      <c r="AR29" s="68">
        <v>0</v>
      </c>
      <c r="AS29" s="71">
        <f t="shared" si="9"/>
        <v>0</v>
      </c>
      <c r="AT29" s="60">
        <f t="shared" si="31"/>
        <v>0</v>
      </c>
      <c r="AU29" s="60">
        <f t="shared" si="31"/>
        <v>0</v>
      </c>
      <c r="AV29" s="94">
        <v>0</v>
      </c>
      <c r="AW29" s="71">
        <f t="shared" si="10"/>
        <v>0</v>
      </c>
      <c r="AX29" s="60">
        <f t="shared" si="26"/>
        <v>0</v>
      </c>
      <c r="AY29" s="113">
        <f>+(0)+(0)+(96)+(0)+(0)+(0)+(0)+(0)</f>
        <v>96</v>
      </c>
      <c r="AZ29" s="72">
        <v>96</v>
      </c>
      <c r="BA29" s="72">
        <f t="shared" si="23"/>
        <v>0</v>
      </c>
      <c r="BB29" s="135">
        <f t="shared" si="17"/>
        <v>0</v>
      </c>
      <c r="BC29" s="135">
        <f t="shared" si="18"/>
        <v>0</v>
      </c>
      <c r="BD29" s="50">
        <v>0</v>
      </c>
      <c r="BE29" s="50">
        <f t="shared" si="12"/>
        <v>0</v>
      </c>
      <c r="BG29" s="139">
        <v>0</v>
      </c>
      <c r="BH29" s="139">
        <v>0</v>
      </c>
      <c r="BI29" s="139">
        <v>0</v>
      </c>
      <c r="BJ29" s="139">
        <v>0</v>
      </c>
      <c r="BK29" s="139">
        <v>0</v>
      </c>
      <c r="BL29" s="139">
        <v>0</v>
      </c>
      <c r="BM29" s="139">
        <v>0</v>
      </c>
      <c r="BN29" s="139">
        <v>0</v>
      </c>
      <c r="BO29" s="139">
        <v>0</v>
      </c>
      <c r="BP29" s="139">
        <v>0</v>
      </c>
      <c r="BQ29" s="139">
        <v>0</v>
      </c>
      <c r="BR29" s="139">
        <v>0</v>
      </c>
      <c r="BS29" s="206">
        <v>0</v>
      </c>
      <c r="BT29" s="205">
        <f t="shared" si="14"/>
        <v>0</v>
      </c>
      <c r="BU29" s="153">
        <f t="shared" si="13"/>
        <v>890.4</v>
      </c>
    </row>
    <row r="30" spans="1:73" ht="25.8" thickBot="1" x14ac:dyDescent="0.65">
      <c r="A30" s="53">
        <v>22</v>
      </c>
      <c r="B30" s="99" t="s">
        <v>480</v>
      </c>
      <c r="C30" s="100" t="s">
        <v>166</v>
      </c>
      <c r="D30" s="108">
        <v>45693</v>
      </c>
      <c r="E30" s="101">
        <v>0</v>
      </c>
      <c r="F30" s="101">
        <f t="shared" si="0"/>
        <v>0</v>
      </c>
      <c r="G30" s="101">
        <f t="shared" ref="G30" si="34">+BU30</f>
        <v>0</v>
      </c>
      <c r="H30" s="102">
        <f t="shared" ref="H30" si="35">+F30+G30</f>
        <v>0</v>
      </c>
      <c r="I30" s="103">
        <v>15</v>
      </c>
      <c r="J30" s="81">
        <v>14</v>
      </c>
      <c r="K30" s="166" t="s">
        <v>488</v>
      </c>
      <c r="L30" s="96">
        <v>46130</v>
      </c>
      <c r="M30" s="97"/>
      <c r="N30" s="98" t="str">
        <f t="shared" ca="1" si="3"/>
        <v>O.K.</v>
      </c>
      <c r="Z30" s="3" t="s">
        <v>480</v>
      </c>
      <c r="AA30" s="34"/>
      <c r="AB30" s="34"/>
      <c r="AC30" s="35"/>
      <c r="AD30" s="35"/>
      <c r="AE30" s="35"/>
      <c r="AF30" s="24"/>
      <c r="AG30" s="21"/>
      <c r="AH30" s="42"/>
      <c r="AI30" s="42"/>
      <c r="AJ30" s="35"/>
      <c r="AK30" s="17"/>
      <c r="AL30" s="42"/>
      <c r="AM30" s="42"/>
      <c r="AN30" s="35"/>
      <c r="AO30" s="24"/>
      <c r="AP30" s="42"/>
      <c r="AQ30" s="42"/>
      <c r="AR30" s="68"/>
      <c r="AS30" s="71"/>
      <c r="AT30" s="60"/>
      <c r="AU30" s="60"/>
      <c r="AV30" s="94"/>
      <c r="AW30" s="71"/>
      <c r="AX30" s="60"/>
      <c r="AY30" s="113"/>
      <c r="AZ30" s="72"/>
      <c r="BA30" s="72"/>
      <c r="BB30" s="135">
        <f>+(0)+(0)+(0)+(0)</f>
        <v>0</v>
      </c>
      <c r="BC30" s="135">
        <f t="shared" si="18"/>
        <v>0</v>
      </c>
      <c r="BD30" s="50">
        <v>0</v>
      </c>
      <c r="BE30" s="50">
        <f t="shared" ref="BE30" si="36">(BA30+BB30+BC30)-BD30</f>
        <v>0</v>
      </c>
      <c r="BG30" s="139">
        <v>0</v>
      </c>
      <c r="BH30" s="139">
        <v>0</v>
      </c>
      <c r="BI30" s="139">
        <v>0</v>
      </c>
      <c r="BJ30" s="139">
        <v>0</v>
      </c>
      <c r="BK30" s="139">
        <v>0</v>
      </c>
      <c r="BL30" s="139">
        <v>0</v>
      </c>
      <c r="BM30" s="139">
        <v>0</v>
      </c>
      <c r="BN30" s="139">
        <v>0</v>
      </c>
      <c r="BO30" s="139">
        <v>0</v>
      </c>
      <c r="BP30" s="139">
        <v>0</v>
      </c>
      <c r="BQ30" s="139">
        <v>0</v>
      </c>
      <c r="BR30" s="139">
        <v>0</v>
      </c>
      <c r="BS30" s="206">
        <v>0</v>
      </c>
      <c r="BT30" s="205">
        <f t="shared" si="14"/>
        <v>0</v>
      </c>
      <c r="BU30" s="153">
        <f t="shared" si="13"/>
        <v>0</v>
      </c>
    </row>
    <row r="31" spans="1:73" ht="25.8" thickBot="1" x14ac:dyDescent="0.65">
      <c r="A31" s="53">
        <v>23</v>
      </c>
      <c r="B31" s="143" t="s">
        <v>478</v>
      </c>
      <c r="C31" s="144" t="s">
        <v>166</v>
      </c>
      <c r="D31" s="145">
        <v>44835</v>
      </c>
      <c r="E31" s="183">
        <v>3</v>
      </c>
      <c r="F31" s="146">
        <f t="shared" si="0"/>
        <v>1599.9900000000002</v>
      </c>
      <c r="G31" s="146">
        <f t="shared" ref="G31:G33" si="37">+BU31</f>
        <v>2053.8000000000002</v>
      </c>
      <c r="H31" s="147">
        <f t="shared" si="2"/>
        <v>3653.7900000000004</v>
      </c>
      <c r="I31" s="148">
        <v>11</v>
      </c>
      <c r="J31" s="81">
        <v>11</v>
      </c>
      <c r="L31" s="198">
        <v>46631</v>
      </c>
      <c r="M31" s="190"/>
      <c r="N31" s="151" t="str">
        <f t="shared" ca="1" si="3"/>
        <v>O.K.</v>
      </c>
      <c r="Z31" s="3" t="s">
        <v>478</v>
      </c>
      <c r="AA31" s="63">
        <v>1378.8</v>
      </c>
      <c r="AB31" s="34">
        <v>0</v>
      </c>
      <c r="AC31" s="35">
        <v>0</v>
      </c>
      <c r="AD31" s="35">
        <v>0</v>
      </c>
      <c r="AE31" s="35">
        <v>0</v>
      </c>
      <c r="AF31" s="24">
        <v>0</v>
      </c>
      <c r="AG31" s="21">
        <v>0</v>
      </c>
      <c r="AH31" s="42">
        <v>0</v>
      </c>
      <c r="AI31" s="42">
        <v>0</v>
      </c>
      <c r="AJ31" s="35">
        <v>0</v>
      </c>
      <c r="AK31" s="17">
        <f t="shared" si="5"/>
        <v>0</v>
      </c>
      <c r="AL31" s="42">
        <v>0</v>
      </c>
      <c r="AM31" s="42">
        <v>0</v>
      </c>
      <c r="AN31" s="35">
        <v>0</v>
      </c>
      <c r="AO31" s="24">
        <f t="shared" si="7"/>
        <v>0</v>
      </c>
      <c r="AP31" s="42">
        <f t="shared" si="27"/>
        <v>0</v>
      </c>
      <c r="AQ31" s="42">
        <f>+(0)+(0)+(0)+(0)+(0)+(75)</f>
        <v>75</v>
      </c>
      <c r="AR31" s="68">
        <v>75</v>
      </c>
      <c r="AS31" s="71">
        <f t="shared" si="9"/>
        <v>0</v>
      </c>
      <c r="AT31" s="60">
        <f>+(492)+(0)+(0)+(0)+(54)+(174)</f>
        <v>720</v>
      </c>
      <c r="AU31" s="60">
        <f>+(396)+(108)+(0)+(0)+(0)+(0)</f>
        <v>504</v>
      </c>
      <c r="AV31" s="94">
        <v>150</v>
      </c>
      <c r="AW31" s="71">
        <f t="shared" si="10"/>
        <v>1074</v>
      </c>
      <c r="AX31" s="24">
        <f t="shared" si="26"/>
        <v>0</v>
      </c>
      <c r="AY31" s="24">
        <f>+(96)+(0)+(0)+(0)+(0)+(132)+(0)+(0)</f>
        <v>228</v>
      </c>
      <c r="AZ31" s="24">
        <v>150</v>
      </c>
      <c r="BA31" s="24">
        <f t="shared" ref="BA31" si="38">+AW31+AX31+AY31-AZ31</f>
        <v>1152</v>
      </c>
      <c r="BB31" s="135">
        <f t="shared" si="17"/>
        <v>0</v>
      </c>
      <c r="BC31" s="135">
        <f>+(0)+(54)+(78)+(0)+(120)+(96)+(0)+(0)</f>
        <v>348</v>
      </c>
      <c r="BD31" s="50">
        <v>150</v>
      </c>
      <c r="BE31" s="50">
        <f t="shared" si="12"/>
        <v>1350</v>
      </c>
      <c r="BG31" s="139">
        <v>0</v>
      </c>
      <c r="BH31" s="139">
        <v>0</v>
      </c>
      <c r="BI31" s="139">
        <v>0</v>
      </c>
      <c r="BJ31" s="139">
        <v>0</v>
      </c>
      <c r="BK31" s="139">
        <v>0</v>
      </c>
      <c r="BL31" s="139">
        <v>0</v>
      </c>
      <c r="BM31" s="139">
        <v>0</v>
      </c>
      <c r="BN31" s="139">
        <v>0</v>
      </c>
      <c r="BO31" s="139">
        <v>0</v>
      </c>
      <c r="BP31" s="139">
        <v>0</v>
      </c>
      <c r="BQ31" s="139">
        <v>0</v>
      </c>
      <c r="BR31" s="139">
        <v>0</v>
      </c>
      <c r="BS31" s="206">
        <v>150</v>
      </c>
      <c r="BT31" s="205">
        <f t="shared" si="14"/>
        <v>1200</v>
      </c>
      <c r="BU31" s="153">
        <f t="shared" si="13"/>
        <v>2053.8000000000002</v>
      </c>
    </row>
    <row r="32" spans="1:73" ht="25.8" thickBot="1" x14ac:dyDescent="0.65">
      <c r="A32" s="53">
        <v>24</v>
      </c>
      <c r="B32" s="99" t="s">
        <v>433</v>
      </c>
      <c r="C32" s="100" t="s">
        <v>165</v>
      </c>
      <c r="D32" s="108">
        <v>45359</v>
      </c>
      <c r="E32" s="101">
        <v>0</v>
      </c>
      <c r="F32" s="101">
        <f t="shared" si="0"/>
        <v>0</v>
      </c>
      <c r="G32" s="101">
        <f t="shared" ref="G32" si="39">+BU32</f>
        <v>108</v>
      </c>
      <c r="H32" s="102">
        <f t="shared" ref="H32" si="40">+F32+G32</f>
        <v>108</v>
      </c>
      <c r="I32" s="103">
        <v>15</v>
      </c>
      <c r="J32" s="81">
        <v>15</v>
      </c>
      <c r="L32" s="96">
        <v>46089</v>
      </c>
      <c r="M32" s="97"/>
      <c r="N32" s="98" t="str">
        <f t="shared" ca="1" si="3"/>
        <v>O.K.</v>
      </c>
      <c r="Z32" s="3" t="s">
        <v>433</v>
      </c>
      <c r="AA32" s="34">
        <v>0</v>
      </c>
      <c r="AB32" s="34">
        <v>0</v>
      </c>
      <c r="AC32" s="35">
        <v>0</v>
      </c>
      <c r="AD32" s="35">
        <v>0</v>
      </c>
      <c r="AE32" s="35">
        <v>0</v>
      </c>
      <c r="AF32" s="24">
        <v>0</v>
      </c>
      <c r="AG32" s="21">
        <f t="shared" si="4"/>
        <v>0</v>
      </c>
      <c r="AH32" s="42">
        <v>0</v>
      </c>
      <c r="AI32" s="42">
        <v>0</v>
      </c>
      <c r="AJ32" s="35">
        <v>0</v>
      </c>
      <c r="AK32" s="17">
        <f t="shared" si="5"/>
        <v>0</v>
      </c>
      <c r="AL32" s="42">
        <v>0</v>
      </c>
      <c r="AM32" s="42">
        <v>0</v>
      </c>
      <c r="AN32" s="35">
        <v>0</v>
      </c>
      <c r="AO32" s="24">
        <f t="shared" si="7"/>
        <v>0</v>
      </c>
      <c r="AP32" s="42">
        <v>0</v>
      </c>
      <c r="AQ32" s="42">
        <v>0</v>
      </c>
      <c r="AR32" s="68">
        <v>0</v>
      </c>
      <c r="AS32" s="71">
        <f t="shared" si="9"/>
        <v>0</v>
      </c>
      <c r="AT32" s="60">
        <v>0</v>
      </c>
      <c r="AU32" s="60">
        <v>0</v>
      </c>
      <c r="AV32" s="94">
        <v>0</v>
      </c>
      <c r="AW32" s="71">
        <f t="shared" si="10"/>
        <v>0</v>
      </c>
      <c r="AX32" s="60">
        <f t="shared" si="26"/>
        <v>0</v>
      </c>
      <c r="AY32" s="113">
        <f t="shared" si="16"/>
        <v>0</v>
      </c>
      <c r="AZ32" s="72">
        <v>0</v>
      </c>
      <c r="BA32" s="72">
        <f t="shared" ref="BA32" si="41">(+AW32+AX32+AY32)-AZ32</f>
        <v>0</v>
      </c>
      <c r="BB32" s="135">
        <f>+(0)+(0)+(0)+(0)</f>
        <v>0</v>
      </c>
      <c r="BC32" s="135">
        <f>+(0)+(0)+(0)+(0)+(0)+(108)+(0)+(0)</f>
        <v>108</v>
      </c>
      <c r="BD32" s="50">
        <v>108</v>
      </c>
      <c r="BE32" s="50">
        <f t="shared" si="12"/>
        <v>0</v>
      </c>
      <c r="BG32" s="139">
        <v>0</v>
      </c>
      <c r="BH32" s="139">
        <v>0</v>
      </c>
      <c r="BI32" s="139">
        <v>0</v>
      </c>
      <c r="BJ32" s="139">
        <v>0</v>
      </c>
      <c r="BK32" s="139">
        <v>0</v>
      </c>
      <c r="BL32" s="139">
        <v>0</v>
      </c>
      <c r="BM32" s="139">
        <v>0</v>
      </c>
      <c r="BN32" s="139">
        <v>0</v>
      </c>
      <c r="BO32" s="139">
        <v>0</v>
      </c>
      <c r="BP32" s="139">
        <v>0</v>
      </c>
      <c r="BQ32" s="139">
        <v>0</v>
      </c>
      <c r="BR32" s="139">
        <v>0</v>
      </c>
      <c r="BS32" s="206">
        <v>0</v>
      </c>
      <c r="BT32" s="205">
        <f t="shared" si="14"/>
        <v>0</v>
      </c>
      <c r="BU32" s="153">
        <f t="shared" si="13"/>
        <v>108</v>
      </c>
    </row>
    <row r="33" spans="1:73" ht="25.8" thickBot="1" x14ac:dyDescent="0.65">
      <c r="A33" s="53">
        <v>25</v>
      </c>
      <c r="B33" s="143" t="s">
        <v>397</v>
      </c>
      <c r="C33" s="144" t="s">
        <v>165</v>
      </c>
      <c r="D33" s="152">
        <v>44986</v>
      </c>
      <c r="E33" s="146">
        <v>2</v>
      </c>
      <c r="F33" s="146">
        <f>+E33*$C$1</f>
        <v>1066.6600000000001</v>
      </c>
      <c r="G33" s="146">
        <f t="shared" si="37"/>
        <v>1914.6</v>
      </c>
      <c r="H33" s="147">
        <f t="shared" ref="H33" si="42">+F33+G33</f>
        <v>2981.26</v>
      </c>
      <c r="I33" s="148">
        <v>12</v>
      </c>
      <c r="J33" s="81">
        <v>12</v>
      </c>
      <c r="L33" s="149">
        <v>46491</v>
      </c>
      <c r="M33" s="150"/>
      <c r="N33" s="151" t="str">
        <f t="shared" ca="1" si="3"/>
        <v>O.K.</v>
      </c>
      <c r="Z33" s="3" t="s">
        <v>397</v>
      </c>
      <c r="AA33" s="34">
        <v>1314.6</v>
      </c>
      <c r="AB33" s="34">
        <v>0</v>
      </c>
      <c r="AC33" s="35">
        <v>0</v>
      </c>
      <c r="AD33" s="35">
        <v>0</v>
      </c>
      <c r="AE33" s="35">
        <v>0</v>
      </c>
      <c r="AF33" s="24">
        <v>0</v>
      </c>
      <c r="AG33" s="21">
        <f>+AF33-AE33</f>
        <v>0</v>
      </c>
      <c r="AH33" s="42">
        <v>0</v>
      </c>
      <c r="AI33" s="42">
        <v>0</v>
      </c>
      <c r="AJ33" s="35">
        <v>0</v>
      </c>
      <c r="AK33" s="17">
        <f>+AG33+(AH33+AI33)-AJ33</f>
        <v>0</v>
      </c>
      <c r="AL33" s="42">
        <v>0</v>
      </c>
      <c r="AM33" s="42">
        <v>0</v>
      </c>
      <c r="AN33" s="35">
        <v>0</v>
      </c>
      <c r="AO33" s="24">
        <f>+AK33+AL33+AM33-AN33</f>
        <v>0</v>
      </c>
      <c r="AP33" s="42">
        <v>0</v>
      </c>
      <c r="AQ33" s="42">
        <v>0</v>
      </c>
      <c r="AR33" s="68">
        <v>0</v>
      </c>
      <c r="AS33" s="71">
        <f>+AO33+AP33+AQ33-AR33</f>
        <v>0</v>
      </c>
      <c r="AT33" s="60">
        <f>+(0)+(0)+(0)+(0)+(54)+(0)</f>
        <v>54</v>
      </c>
      <c r="AU33" s="60">
        <f>+(0)+(96)+(0)+(0)+(0)+(0)</f>
        <v>96</v>
      </c>
      <c r="AV33" s="94">
        <v>150</v>
      </c>
      <c r="AW33" s="71">
        <f>+AS33+AT33+AU33-AV33</f>
        <v>0</v>
      </c>
      <c r="AX33" s="60">
        <f>+(0)+(0)+(0)+(78)</f>
        <v>78</v>
      </c>
      <c r="AY33" s="113">
        <f>+(120)+(0)+(0)+(0)+(0)+(0)+(0)+(0)</f>
        <v>120</v>
      </c>
      <c r="AZ33" s="72">
        <v>150</v>
      </c>
      <c r="BA33" s="72">
        <f>(+AW33+AX33+AY33)-AZ33</f>
        <v>48</v>
      </c>
      <c r="BB33" s="135">
        <f t="shared" si="17"/>
        <v>0</v>
      </c>
      <c r="BC33" s="135">
        <f>+(0)+(30)+(96)+(54)+(0)+(78)+(0)+(0)</f>
        <v>258</v>
      </c>
      <c r="BD33" s="50">
        <v>150</v>
      </c>
      <c r="BE33" s="50">
        <f t="shared" si="12"/>
        <v>156</v>
      </c>
      <c r="BG33" s="139">
        <v>0</v>
      </c>
      <c r="BH33" s="207">
        <v>60</v>
      </c>
      <c r="BI33" s="139">
        <v>0</v>
      </c>
      <c r="BJ33" s="139">
        <v>0</v>
      </c>
      <c r="BK33" s="139">
        <v>0</v>
      </c>
      <c r="BL33" s="139">
        <v>0</v>
      </c>
      <c r="BM33" s="139">
        <v>0</v>
      </c>
      <c r="BN33" s="139">
        <v>0</v>
      </c>
      <c r="BO33" s="139">
        <v>0</v>
      </c>
      <c r="BP33" s="139">
        <v>0</v>
      </c>
      <c r="BQ33" s="139">
        <v>0</v>
      </c>
      <c r="BR33" s="139">
        <v>0</v>
      </c>
      <c r="BS33" s="206">
        <v>150</v>
      </c>
      <c r="BT33" s="205">
        <f t="shared" si="14"/>
        <v>66</v>
      </c>
      <c r="BU33" s="153">
        <f t="shared" si="13"/>
        <v>1914.6</v>
      </c>
    </row>
    <row r="34" spans="1:73" ht="25.8" thickBot="1" x14ac:dyDescent="0.65">
      <c r="A34" s="53">
        <v>26</v>
      </c>
      <c r="B34" s="83" t="s">
        <v>21</v>
      </c>
      <c r="C34" s="84" t="s">
        <v>168</v>
      </c>
      <c r="D34" s="83" t="s">
        <v>105</v>
      </c>
      <c r="E34" s="85">
        <v>15</v>
      </c>
      <c r="F34" s="85">
        <f t="shared" si="0"/>
        <v>7999.9500000000007</v>
      </c>
      <c r="G34" s="85">
        <f t="shared" si="1"/>
        <v>2912</v>
      </c>
      <c r="H34" s="86">
        <f t="shared" si="2"/>
        <v>10911.95</v>
      </c>
      <c r="I34" s="87">
        <v>1</v>
      </c>
      <c r="J34" s="81">
        <v>1</v>
      </c>
      <c r="L34" s="88"/>
      <c r="M34" s="89"/>
      <c r="N34" s="90" t="s">
        <v>170</v>
      </c>
      <c r="Z34" s="3" t="s">
        <v>21</v>
      </c>
      <c r="AA34" s="34">
        <v>1616</v>
      </c>
      <c r="AB34" s="34">
        <v>96</v>
      </c>
      <c r="AC34" s="35">
        <v>120</v>
      </c>
      <c r="AD34" s="35">
        <v>120</v>
      </c>
      <c r="AE34" s="35">
        <v>120</v>
      </c>
      <c r="AF34" s="24">
        <v>156</v>
      </c>
      <c r="AG34" s="21">
        <f t="shared" si="4"/>
        <v>36</v>
      </c>
      <c r="AH34" s="42">
        <v>132</v>
      </c>
      <c r="AI34" s="42">
        <f>+(0)+(0)+(0)+(0)+(54)+(54)</f>
        <v>108</v>
      </c>
      <c r="AJ34" s="35">
        <v>120</v>
      </c>
      <c r="AK34" s="17">
        <f t="shared" si="5"/>
        <v>156</v>
      </c>
      <c r="AL34" s="42">
        <f t="shared" si="33"/>
        <v>0</v>
      </c>
      <c r="AM34" s="42">
        <f>+(78)+(0)+(0)+(0)+(78)+(0)</f>
        <v>156</v>
      </c>
      <c r="AN34" s="35">
        <v>120</v>
      </c>
      <c r="AO34" s="24">
        <f t="shared" si="7"/>
        <v>192</v>
      </c>
      <c r="AP34" s="42">
        <f t="shared" si="27"/>
        <v>0</v>
      </c>
      <c r="AQ34" s="42">
        <f>+(0)+(0)+(0)+(0)+(78)+(0)</f>
        <v>78</v>
      </c>
      <c r="AR34" s="68">
        <v>120</v>
      </c>
      <c r="AS34" s="71">
        <f t="shared" si="9"/>
        <v>150</v>
      </c>
      <c r="AT34" s="60">
        <f>+(0)+(54)+(0)+(186)+(54)+(0)</f>
        <v>294</v>
      </c>
      <c r="AU34" s="60">
        <f>+(0)+(157.8)+(0)+(0)+(0)+(0)</f>
        <v>157.80000000000001</v>
      </c>
      <c r="AV34" s="94">
        <v>120</v>
      </c>
      <c r="AW34" s="71">
        <f t="shared" si="10"/>
        <v>481.79999999999995</v>
      </c>
      <c r="AX34" s="60">
        <f>+(0)+(0)+(216)+(37.8)</f>
        <v>253.8</v>
      </c>
      <c r="AY34" s="113">
        <f>+(108)+(0)+(0)+(0)+(78)+(0)+(0)+(0)</f>
        <v>186</v>
      </c>
      <c r="AZ34" s="72">
        <v>120</v>
      </c>
      <c r="BA34" s="72">
        <f t="shared" si="23"/>
        <v>801.59999999999991</v>
      </c>
      <c r="BB34" s="135">
        <f>+(0)+(0)+(0)+(78)</f>
        <v>78</v>
      </c>
      <c r="BC34" s="135">
        <f>+(0)+(0)+(0)+(0)+(30)+(0)+(0)+(0)</f>
        <v>30</v>
      </c>
      <c r="BD34" s="50">
        <v>120</v>
      </c>
      <c r="BE34" s="50">
        <f t="shared" si="12"/>
        <v>789.59999999999991</v>
      </c>
      <c r="BG34" s="207">
        <v>78</v>
      </c>
      <c r="BH34" s="139">
        <v>0</v>
      </c>
      <c r="BI34" s="139">
        <v>0</v>
      </c>
      <c r="BJ34" s="139">
        <v>0</v>
      </c>
      <c r="BK34" s="139">
        <v>0</v>
      </c>
      <c r="BL34" s="139">
        <v>0</v>
      </c>
      <c r="BM34" s="139">
        <v>0</v>
      </c>
      <c r="BN34" s="139">
        <v>0</v>
      </c>
      <c r="BO34" s="139">
        <v>0</v>
      </c>
      <c r="BP34" s="139">
        <v>0</v>
      </c>
      <c r="BQ34" s="139">
        <v>0</v>
      </c>
      <c r="BR34" s="139">
        <v>0</v>
      </c>
      <c r="BS34" s="206">
        <v>120</v>
      </c>
      <c r="BT34" s="205">
        <f t="shared" si="14"/>
        <v>747.59999999999991</v>
      </c>
      <c r="BU34" s="153">
        <f t="shared" si="13"/>
        <v>2912</v>
      </c>
    </row>
    <row r="35" spans="1:73" ht="25.8" thickBot="1" x14ac:dyDescent="0.65">
      <c r="A35" s="53">
        <v>27</v>
      </c>
      <c r="B35" s="143" t="s">
        <v>233</v>
      </c>
      <c r="C35" s="144" t="s">
        <v>164</v>
      </c>
      <c r="D35" s="145">
        <v>43036</v>
      </c>
      <c r="E35" s="146">
        <v>4</v>
      </c>
      <c r="F35" s="146">
        <f t="shared" si="0"/>
        <v>2133.3200000000002</v>
      </c>
      <c r="G35" s="146">
        <f t="shared" si="1"/>
        <v>828</v>
      </c>
      <c r="H35" s="147">
        <f t="shared" si="2"/>
        <v>2961.32</v>
      </c>
      <c r="I35" s="148">
        <v>12</v>
      </c>
      <c r="J35" s="81">
        <v>12</v>
      </c>
      <c r="L35" s="149">
        <v>46688</v>
      </c>
      <c r="M35" s="150"/>
      <c r="N35" s="151" t="str">
        <f t="shared" ca="1" si="3"/>
        <v>O.K.</v>
      </c>
      <c r="Z35" s="3" t="s">
        <v>233</v>
      </c>
      <c r="AA35" s="34">
        <v>0</v>
      </c>
      <c r="AB35" s="34">
        <v>0</v>
      </c>
      <c r="AC35" s="35">
        <v>0</v>
      </c>
      <c r="AD35" s="35">
        <v>96</v>
      </c>
      <c r="AE35" s="35">
        <v>0</v>
      </c>
      <c r="AF35" s="24">
        <v>0</v>
      </c>
      <c r="AG35" s="21">
        <f t="shared" si="4"/>
        <v>0</v>
      </c>
      <c r="AH35" s="42">
        <v>0</v>
      </c>
      <c r="AI35" s="42">
        <f>+(0)+(0)+(0)+(78)+(0)+(54)</f>
        <v>132</v>
      </c>
      <c r="AJ35" s="35">
        <v>120</v>
      </c>
      <c r="AK35" s="17">
        <f t="shared" si="5"/>
        <v>12</v>
      </c>
      <c r="AL35" s="42">
        <f t="shared" si="33"/>
        <v>0</v>
      </c>
      <c r="AM35" s="42">
        <f>+(0)+(0)+(0)+(0)+(0)+(0)</f>
        <v>0</v>
      </c>
      <c r="AN35" s="35">
        <v>12</v>
      </c>
      <c r="AO35" s="24">
        <f t="shared" si="7"/>
        <v>0</v>
      </c>
      <c r="AP35" s="42">
        <f t="shared" si="27"/>
        <v>0</v>
      </c>
      <c r="AQ35" s="42">
        <f>+(0)+(0)+(0)+(0)+(366.6)+(1098.6)</f>
        <v>1465.1999999999998</v>
      </c>
      <c r="AR35" s="68">
        <v>120</v>
      </c>
      <c r="AS35" s="71">
        <f t="shared" si="9"/>
        <v>1345.1999999999998</v>
      </c>
      <c r="AT35" s="60">
        <f>+(204.6)+(0)+(0)+(294)+(174)+(108)</f>
        <v>780.6</v>
      </c>
      <c r="AU35" s="60">
        <f>+(228)+(0)+(0)+(0)+(0)+(0)</f>
        <v>228</v>
      </c>
      <c r="AV35" s="94">
        <v>120</v>
      </c>
      <c r="AW35" s="71">
        <f t="shared" si="10"/>
        <v>2233.7999999999997</v>
      </c>
      <c r="AX35" s="60">
        <f>+(204)+(0)+(96)+(78)</f>
        <v>378</v>
      </c>
      <c r="AY35" s="113">
        <f>+(0)+(0)+(0)+(139.2)+(0)+(0)+(78)+(0)</f>
        <v>217.2</v>
      </c>
      <c r="AZ35" s="72">
        <v>120</v>
      </c>
      <c r="BA35" s="72">
        <f>(+AW35+AX35+AY35)-AZ35</f>
        <v>2708.9999999999995</v>
      </c>
      <c r="BB35" s="135">
        <f t="shared" si="17"/>
        <v>0</v>
      </c>
      <c r="BC35" s="135">
        <f>+(96)+(0)+(0)+(0)+(0)+(0)+(0)+(51)</f>
        <v>147</v>
      </c>
      <c r="BD35" s="50">
        <v>120</v>
      </c>
      <c r="BE35" s="50">
        <f t="shared" si="12"/>
        <v>2735.9999999999995</v>
      </c>
      <c r="BG35" s="139">
        <v>0</v>
      </c>
      <c r="BH35" s="139">
        <v>0</v>
      </c>
      <c r="BI35" s="139">
        <v>0</v>
      </c>
      <c r="BJ35" s="139">
        <v>0</v>
      </c>
      <c r="BK35" s="139">
        <v>0</v>
      </c>
      <c r="BL35" s="139">
        <v>0</v>
      </c>
      <c r="BM35" s="139">
        <v>0</v>
      </c>
      <c r="BN35" s="139">
        <v>0</v>
      </c>
      <c r="BO35" s="139">
        <v>0</v>
      </c>
      <c r="BP35" s="139">
        <v>0</v>
      </c>
      <c r="BQ35" s="139">
        <v>0</v>
      </c>
      <c r="BR35" s="139">
        <v>0</v>
      </c>
      <c r="BS35" s="206">
        <v>120</v>
      </c>
      <c r="BT35" s="205">
        <f t="shared" si="14"/>
        <v>2615.9999999999995</v>
      </c>
      <c r="BU35" s="153">
        <f t="shared" si="13"/>
        <v>828</v>
      </c>
    </row>
    <row r="36" spans="1:73" ht="25.8" thickBot="1" x14ac:dyDescent="0.65">
      <c r="A36" s="53">
        <v>28</v>
      </c>
      <c r="B36" s="99" t="s">
        <v>218</v>
      </c>
      <c r="C36" s="100" t="s">
        <v>168</v>
      </c>
      <c r="D36" s="108">
        <v>42934</v>
      </c>
      <c r="E36" s="101">
        <v>4</v>
      </c>
      <c r="F36" s="101">
        <f t="shared" si="0"/>
        <v>2133.3200000000002</v>
      </c>
      <c r="G36" s="101">
        <f t="shared" si="1"/>
        <v>1236.5999999999999</v>
      </c>
      <c r="H36" s="102">
        <f t="shared" si="2"/>
        <v>3369.92</v>
      </c>
      <c r="I36" s="103">
        <v>11</v>
      </c>
      <c r="J36" s="81">
        <v>11</v>
      </c>
      <c r="L36" s="96">
        <v>46180</v>
      </c>
      <c r="M36" s="97"/>
      <c r="N36" s="98" t="str">
        <f t="shared" ca="1" si="3"/>
        <v>O.K.</v>
      </c>
      <c r="O36" s="1"/>
      <c r="P36" s="1"/>
      <c r="Q36" s="1"/>
      <c r="R36" s="1"/>
      <c r="S36" s="1"/>
      <c r="T36" s="1"/>
      <c r="U36" s="1"/>
      <c r="V36" s="1"/>
      <c r="W36" s="1"/>
      <c r="Z36" s="3" t="s">
        <v>218</v>
      </c>
      <c r="AA36" s="34">
        <v>162</v>
      </c>
      <c r="AB36" s="34">
        <v>0</v>
      </c>
      <c r="AC36" s="35">
        <v>0</v>
      </c>
      <c r="AD36" s="35">
        <v>120</v>
      </c>
      <c r="AE36" s="35">
        <v>120</v>
      </c>
      <c r="AF36" s="24">
        <v>132.6</v>
      </c>
      <c r="AG36" s="21">
        <f t="shared" si="4"/>
        <v>12.599999999999994</v>
      </c>
      <c r="AH36" s="42">
        <v>54</v>
      </c>
      <c r="AI36" s="42">
        <f>+(0)+(156)+(0)+(78)+(0)+(54)</f>
        <v>288</v>
      </c>
      <c r="AJ36" s="35">
        <v>120</v>
      </c>
      <c r="AK36" s="17">
        <f t="shared" si="5"/>
        <v>234.60000000000002</v>
      </c>
      <c r="AL36" s="42">
        <f t="shared" si="33"/>
        <v>0</v>
      </c>
      <c r="AM36" s="42">
        <f>+(0)+(0)+(0)+(0)+(0)+(0)</f>
        <v>0</v>
      </c>
      <c r="AN36" s="35">
        <v>120</v>
      </c>
      <c r="AO36" s="24">
        <f t="shared" si="7"/>
        <v>114.60000000000002</v>
      </c>
      <c r="AP36" s="42">
        <f t="shared" si="27"/>
        <v>0</v>
      </c>
      <c r="AQ36" s="42">
        <f t="shared" si="27"/>
        <v>0</v>
      </c>
      <c r="AR36" s="68">
        <v>114.6</v>
      </c>
      <c r="AS36" s="71">
        <f t="shared" si="9"/>
        <v>0</v>
      </c>
      <c r="AT36" s="60">
        <f>+(0)+(0)+(108)+(216)+(108)+(0)</f>
        <v>432</v>
      </c>
      <c r="AU36" s="60">
        <f t="shared" si="31"/>
        <v>0</v>
      </c>
      <c r="AV36" s="94">
        <v>120</v>
      </c>
      <c r="AW36" s="71">
        <f t="shared" si="10"/>
        <v>312</v>
      </c>
      <c r="AX36" s="60">
        <f t="shared" ref="AX36:AX336" si="43">+(0)+(0)+(0)+(0)</f>
        <v>0</v>
      </c>
      <c r="AY36" s="113">
        <f>+(0)+(0)+(174)+(0)+(0)+(120)+(0)+(0)</f>
        <v>294</v>
      </c>
      <c r="AZ36" s="72">
        <v>120</v>
      </c>
      <c r="BA36" s="72">
        <f t="shared" ref="BA36:BA39" si="44">(+AW36+AX36+AY36)-AZ36</f>
        <v>486</v>
      </c>
      <c r="BB36" s="135">
        <f>+(0)+(0)+(0)+(91.8)</f>
        <v>91.8</v>
      </c>
      <c r="BC36" s="135">
        <f t="shared" si="18"/>
        <v>0</v>
      </c>
      <c r="BD36" s="50">
        <v>120</v>
      </c>
      <c r="BE36" s="50">
        <f t="shared" si="12"/>
        <v>457.79999999999995</v>
      </c>
      <c r="BG36" s="139">
        <v>0</v>
      </c>
      <c r="BH36" s="139">
        <v>0</v>
      </c>
      <c r="BI36" s="139">
        <v>0</v>
      </c>
      <c r="BJ36" s="139">
        <v>0</v>
      </c>
      <c r="BK36" s="139">
        <v>0</v>
      </c>
      <c r="BL36" s="139">
        <v>0</v>
      </c>
      <c r="BM36" s="139">
        <v>0</v>
      </c>
      <c r="BN36" s="139">
        <v>0</v>
      </c>
      <c r="BO36" s="139">
        <v>0</v>
      </c>
      <c r="BP36" s="139">
        <v>0</v>
      </c>
      <c r="BQ36" s="139">
        <v>0</v>
      </c>
      <c r="BR36" s="139">
        <v>0</v>
      </c>
      <c r="BS36" s="206">
        <v>120</v>
      </c>
      <c r="BT36" s="205">
        <f t="shared" si="14"/>
        <v>337.79999999999995</v>
      </c>
      <c r="BU36" s="153">
        <f t="shared" si="13"/>
        <v>1236.5999999999999</v>
      </c>
    </row>
    <row r="37" spans="1:73" ht="25.8" thickBot="1" x14ac:dyDescent="0.65">
      <c r="A37" s="53">
        <v>29</v>
      </c>
      <c r="B37" s="143" t="s">
        <v>22</v>
      </c>
      <c r="C37" s="144" t="s">
        <v>168</v>
      </c>
      <c r="D37" s="143" t="s">
        <v>106</v>
      </c>
      <c r="E37" s="146">
        <v>13</v>
      </c>
      <c r="F37" s="146">
        <f t="shared" si="0"/>
        <v>6933.2900000000009</v>
      </c>
      <c r="G37" s="146">
        <f t="shared" si="1"/>
        <v>2712.6</v>
      </c>
      <c r="H37" s="147">
        <f t="shared" si="2"/>
        <v>9645.8900000000012</v>
      </c>
      <c r="I37" s="148">
        <v>3</v>
      </c>
      <c r="J37" s="81">
        <v>3</v>
      </c>
      <c r="L37" s="149">
        <v>46689</v>
      </c>
      <c r="M37" s="150"/>
      <c r="N37" s="151" t="str">
        <f t="shared" ca="1" si="3"/>
        <v>O.K.</v>
      </c>
      <c r="Z37" s="3" t="s">
        <v>22</v>
      </c>
      <c r="AA37" s="34">
        <v>1470</v>
      </c>
      <c r="AB37" s="34">
        <v>120</v>
      </c>
      <c r="AC37" s="35">
        <v>96</v>
      </c>
      <c r="AD37" s="35">
        <v>120</v>
      </c>
      <c r="AE37" s="35">
        <v>120</v>
      </c>
      <c r="AF37" s="24">
        <v>132.6</v>
      </c>
      <c r="AG37" s="21">
        <f t="shared" si="4"/>
        <v>12.599999999999994</v>
      </c>
      <c r="AH37" s="42">
        <v>0</v>
      </c>
      <c r="AI37" s="42">
        <f>+(0)+(54)+(0)+(0)+(0)+(54)</f>
        <v>108</v>
      </c>
      <c r="AJ37" s="35">
        <v>120</v>
      </c>
      <c r="AK37" s="17">
        <f t="shared" si="5"/>
        <v>0.59999999999999432</v>
      </c>
      <c r="AL37" s="42">
        <f t="shared" si="33"/>
        <v>0</v>
      </c>
      <c r="AM37" s="42">
        <f>+(78)+(78)+(0)+(0)+(0)+(0)</f>
        <v>156</v>
      </c>
      <c r="AN37" s="35">
        <v>120</v>
      </c>
      <c r="AO37" s="65">
        <f t="shared" si="7"/>
        <v>36.599999999999994</v>
      </c>
      <c r="AP37" s="42">
        <f t="shared" si="27"/>
        <v>0</v>
      </c>
      <c r="AQ37" s="42">
        <f>+(0)+(0)+(0)+(0)+(30)+(0)</f>
        <v>30</v>
      </c>
      <c r="AR37" s="68">
        <v>66.599999999999994</v>
      </c>
      <c r="AS37" s="71">
        <f t="shared" si="9"/>
        <v>0</v>
      </c>
      <c r="AT37" s="60">
        <f>+(0)+(0)+(0)+(0)+(54)+(0)</f>
        <v>54</v>
      </c>
      <c r="AU37" s="60">
        <f>+(54)+(96)+(0)+(0)+(0)+(0)</f>
        <v>150</v>
      </c>
      <c r="AV37" s="94">
        <v>120</v>
      </c>
      <c r="AW37" s="71">
        <f t="shared" si="10"/>
        <v>84</v>
      </c>
      <c r="AX37" s="60">
        <f t="shared" si="43"/>
        <v>0</v>
      </c>
      <c r="AY37" s="113">
        <f>+(0)+(0)+(96)+(0)+(0)+(0)+(132.6)+(0)</f>
        <v>228.6</v>
      </c>
      <c r="AZ37" s="72">
        <v>120</v>
      </c>
      <c r="BA37" s="72">
        <f t="shared" si="44"/>
        <v>192.60000000000002</v>
      </c>
      <c r="BB37" s="135">
        <f>+(0)+(0)+(0)+(54)</f>
        <v>54</v>
      </c>
      <c r="BC37" s="135">
        <f>+(0)+(0)+(0)+(0)+(0)+(0)+(0)+(156)</f>
        <v>156</v>
      </c>
      <c r="BD37" s="50">
        <v>120</v>
      </c>
      <c r="BE37" s="50">
        <f t="shared" si="12"/>
        <v>282.60000000000002</v>
      </c>
      <c r="BG37" s="139">
        <v>0</v>
      </c>
      <c r="BH37" s="207">
        <v>96</v>
      </c>
      <c r="BI37" s="139">
        <v>0</v>
      </c>
      <c r="BJ37" s="139">
        <v>0</v>
      </c>
      <c r="BK37" s="139">
        <v>0</v>
      </c>
      <c r="BL37" s="139">
        <v>0</v>
      </c>
      <c r="BM37" s="139">
        <v>0</v>
      </c>
      <c r="BN37" s="139">
        <v>0</v>
      </c>
      <c r="BO37" s="139">
        <v>0</v>
      </c>
      <c r="BP37" s="139">
        <v>0</v>
      </c>
      <c r="BQ37" s="139">
        <v>0</v>
      </c>
      <c r="BR37" s="139">
        <v>0</v>
      </c>
      <c r="BS37" s="206">
        <v>120</v>
      </c>
      <c r="BT37" s="205">
        <f t="shared" si="14"/>
        <v>258.60000000000002</v>
      </c>
      <c r="BU37" s="153">
        <f t="shared" si="13"/>
        <v>2712.6</v>
      </c>
    </row>
    <row r="38" spans="1:73" ht="25.8" thickBot="1" x14ac:dyDescent="0.65">
      <c r="A38" s="53">
        <v>30</v>
      </c>
      <c r="B38" s="169" t="s">
        <v>482</v>
      </c>
      <c r="C38" s="170" t="s">
        <v>168</v>
      </c>
      <c r="D38" s="171">
        <v>45680</v>
      </c>
      <c r="E38" s="172">
        <v>0</v>
      </c>
      <c r="F38" s="172">
        <f t="shared" si="0"/>
        <v>0</v>
      </c>
      <c r="G38" s="172">
        <f t="shared" ref="G38" si="45">+BU38</f>
        <v>0</v>
      </c>
      <c r="H38" s="173">
        <f t="shared" ref="H38" si="46">+F38+G38</f>
        <v>0</v>
      </c>
      <c r="I38" s="174">
        <v>15</v>
      </c>
      <c r="J38" s="81">
        <v>15</v>
      </c>
      <c r="L38" s="124" t="s">
        <v>441</v>
      </c>
      <c r="M38" s="167"/>
      <c r="N38" s="168"/>
      <c r="Z38" s="3" t="s">
        <v>482</v>
      </c>
      <c r="AA38" s="34"/>
      <c r="AB38" s="34"/>
      <c r="AC38" s="35"/>
      <c r="AD38" s="35"/>
      <c r="AE38" s="35"/>
      <c r="AF38" s="24"/>
      <c r="AG38" s="21"/>
      <c r="AH38" s="42"/>
      <c r="AI38" s="42"/>
      <c r="AJ38" s="35"/>
      <c r="AK38" s="17"/>
      <c r="AL38" s="42"/>
      <c r="AM38" s="42"/>
      <c r="AN38" s="35"/>
      <c r="AO38" s="65"/>
      <c r="AP38" s="42"/>
      <c r="AQ38" s="42"/>
      <c r="AR38" s="68"/>
      <c r="AS38" s="71"/>
      <c r="AT38" s="60"/>
      <c r="AU38" s="60"/>
      <c r="AV38" s="94"/>
      <c r="AW38" s="71"/>
      <c r="AX38" s="60"/>
      <c r="AY38" s="113"/>
      <c r="AZ38" s="72"/>
      <c r="BA38" s="72"/>
      <c r="BB38" s="135">
        <f t="shared" si="17"/>
        <v>0</v>
      </c>
      <c r="BC38" s="135">
        <f t="shared" si="18"/>
        <v>0</v>
      </c>
      <c r="BD38" s="50">
        <v>0</v>
      </c>
      <c r="BE38" s="50">
        <f t="shared" si="12"/>
        <v>0</v>
      </c>
      <c r="BG38" s="139">
        <v>0</v>
      </c>
      <c r="BH38" s="139">
        <v>0</v>
      </c>
      <c r="BI38" s="139">
        <v>0</v>
      </c>
      <c r="BJ38" s="139">
        <v>0</v>
      </c>
      <c r="BK38" s="139">
        <v>0</v>
      </c>
      <c r="BL38" s="139">
        <v>0</v>
      </c>
      <c r="BM38" s="139">
        <v>0</v>
      </c>
      <c r="BN38" s="139">
        <v>0</v>
      </c>
      <c r="BO38" s="139">
        <v>0</v>
      </c>
      <c r="BP38" s="139">
        <v>0</v>
      </c>
      <c r="BQ38" s="139">
        <v>0</v>
      </c>
      <c r="BR38" s="139">
        <v>0</v>
      </c>
      <c r="BS38" s="206">
        <v>0</v>
      </c>
      <c r="BT38" s="205">
        <f t="shared" si="14"/>
        <v>0</v>
      </c>
      <c r="BU38" s="153">
        <f t="shared" si="13"/>
        <v>0</v>
      </c>
    </row>
    <row r="39" spans="1:73" ht="25.8" thickBot="1" x14ac:dyDescent="0.65">
      <c r="A39" s="53">
        <v>31</v>
      </c>
      <c r="B39" s="99" t="s">
        <v>23</v>
      </c>
      <c r="C39" s="100" t="s">
        <v>162</v>
      </c>
      <c r="D39" s="104" t="s">
        <v>107</v>
      </c>
      <c r="E39" s="101">
        <v>6</v>
      </c>
      <c r="F39" s="101">
        <f t="shared" si="0"/>
        <v>3199.9800000000005</v>
      </c>
      <c r="G39" s="101">
        <f t="shared" si="1"/>
        <v>1179.5999999999999</v>
      </c>
      <c r="H39" s="102">
        <f t="shared" si="2"/>
        <v>4379.58</v>
      </c>
      <c r="I39" s="103">
        <v>10</v>
      </c>
      <c r="J39" s="81">
        <v>10</v>
      </c>
      <c r="L39" s="96">
        <v>46040</v>
      </c>
      <c r="M39" s="97"/>
      <c r="N39" s="98" t="str">
        <f t="shared" ca="1" si="3"/>
        <v>O.K.</v>
      </c>
      <c r="Z39" s="3" t="s">
        <v>23</v>
      </c>
      <c r="AA39" s="34">
        <v>420</v>
      </c>
      <c r="AB39" s="34">
        <v>96</v>
      </c>
      <c r="AC39" s="35">
        <v>96</v>
      </c>
      <c r="AD39" s="35">
        <v>120</v>
      </c>
      <c r="AE39" s="35">
        <v>0</v>
      </c>
      <c r="AF39" s="24">
        <v>0</v>
      </c>
      <c r="AG39" s="21">
        <f t="shared" si="4"/>
        <v>0</v>
      </c>
      <c r="AH39" s="42">
        <v>0</v>
      </c>
      <c r="AI39" s="42">
        <f>+(0)+(0)+(0)+(0)+(0)+(108.6)</f>
        <v>108.6</v>
      </c>
      <c r="AJ39" s="35">
        <v>108.6</v>
      </c>
      <c r="AK39" s="17">
        <f t="shared" si="5"/>
        <v>0</v>
      </c>
      <c r="AL39" s="42">
        <f>+(0)+(0)+(0)+(0)+(0)+(0)</f>
        <v>0</v>
      </c>
      <c r="AM39" s="42">
        <f>+(0)+(0)+(0)+(0)+(0)+(21)</f>
        <v>21</v>
      </c>
      <c r="AN39" s="35">
        <v>21</v>
      </c>
      <c r="AO39" s="65">
        <f t="shared" si="7"/>
        <v>0</v>
      </c>
      <c r="AP39" s="42">
        <f t="shared" si="27"/>
        <v>0</v>
      </c>
      <c r="AQ39" s="42">
        <f t="shared" si="27"/>
        <v>0</v>
      </c>
      <c r="AR39" s="68">
        <v>0</v>
      </c>
      <c r="AS39" s="71">
        <f t="shared" si="9"/>
        <v>0</v>
      </c>
      <c r="AT39" s="60">
        <f t="shared" si="31"/>
        <v>0</v>
      </c>
      <c r="AU39" s="60">
        <f t="shared" si="31"/>
        <v>0</v>
      </c>
      <c r="AV39" s="94">
        <v>0</v>
      </c>
      <c r="AW39" s="71">
        <f t="shared" si="10"/>
        <v>0</v>
      </c>
      <c r="AX39" s="60">
        <f t="shared" si="43"/>
        <v>0</v>
      </c>
      <c r="AY39" s="113">
        <f>+(78)+(0)+(96)+(0)+(0)+(0)+(0)+(12)</f>
        <v>186</v>
      </c>
      <c r="AZ39" s="71">
        <v>120</v>
      </c>
      <c r="BA39" s="71">
        <f t="shared" si="44"/>
        <v>66</v>
      </c>
      <c r="BB39" s="135">
        <f>+(0)+(0)+(0)+(54)</f>
        <v>54</v>
      </c>
      <c r="BC39" s="135">
        <f>+(0)+(0)+(78)+(0)+(0)+(0)+(0)+(0)</f>
        <v>78</v>
      </c>
      <c r="BD39" s="50">
        <v>120</v>
      </c>
      <c r="BE39" s="50">
        <f t="shared" ref="BE39:BE68" si="47">(BA39+BB39+BC39)-BD39</f>
        <v>78</v>
      </c>
      <c r="BG39" s="139">
        <v>0</v>
      </c>
      <c r="BH39" s="139">
        <v>0</v>
      </c>
      <c r="BI39" s="139">
        <v>0</v>
      </c>
      <c r="BJ39" s="139">
        <v>0</v>
      </c>
      <c r="BK39" s="139">
        <v>0</v>
      </c>
      <c r="BL39" s="139">
        <v>0</v>
      </c>
      <c r="BM39" s="139">
        <v>0</v>
      </c>
      <c r="BN39" s="139">
        <v>0</v>
      </c>
      <c r="BO39" s="139">
        <v>0</v>
      </c>
      <c r="BP39" s="139">
        <v>0</v>
      </c>
      <c r="BQ39" s="139">
        <v>0</v>
      </c>
      <c r="BR39" s="139">
        <v>0</v>
      </c>
      <c r="BS39" s="206">
        <v>78</v>
      </c>
      <c r="BT39" s="205">
        <f t="shared" si="14"/>
        <v>0</v>
      </c>
      <c r="BU39" s="153">
        <f t="shared" si="13"/>
        <v>1179.5999999999999</v>
      </c>
    </row>
    <row r="40" spans="1:73" ht="25.8" thickBot="1" x14ac:dyDescent="0.65">
      <c r="A40" s="53">
        <v>32</v>
      </c>
      <c r="B40" s="99" t="s">
        <v>340</v>
      </c>
      <c r="C40" s="100" t="s">
        <v>354</v>
      </c>
      <c r="D40" s="105">
        <v>44562</v>
      </c>
      <c r="E40" s="101">
        <v>2</v>
      </c>
      <c r="F40" s="101">
        <f t="shared" si="0"/>
        <v>1066.6600000000001</v>
      </c>
      <c r="G40" s="101">
        <f t="shared" si="1"/>
        <v>597</v>
      </c>
      <c r="H40" s="102">
        <f t="shared" si="2"/>
        <v>1663.66</v>
      </c>
      <c r="I40" s="103">
        <v>13</v>
      </c>
      <c r="J40" s="81">
        <v>13</v>
      </c>
      <c r="L40" s="96">
        <v>46143</v>
      </c>
      <c r="M40" s="97"/>
      <c r="N40" s="98" t="str">
        <f t="shared" ca="1" si="3"/>
        <v>O.K.</v>
      </c>
      <c r="Z40" s="3" t="s">
        <v>340</v>
      </c>
      <c r="AA40" s="34">
        <v>0</v>
      </c>
      <c r="AB40" s="34">
        <v>0</v>
      </c>
      <c r="AC40" s="35">
        <v>0</v>
      </c>
      <c r="AD40" s="35">
        <v>0</v>
      </c>
      <c r="AE40" s="35">
        <v>0</v>
      </c>
      <c r="AF40" s="24">
        <v>0</v>
      </c>
      <c r="AG40" s="21">
        <f t="shared" si="4"/>
        <v>0</v>
      </c>
      <c r="AH40" s="42">
        <v>0</v>
      </c>
      <c r="AI40" s="42">
        <v>0</v>
      </c>
      <c r="AJ40" s="35">
        <v>0</v>
      </c>
      <c r="AK40" s="17">
        <f t="shared" si="5"/>
        <v>0</v>
      </c>
      <c r="AL40" s="42">
        <f>+(0)+(0)+(0)+(0)+(0)+(0)</f>
        <v>0</v>
      </c>
      <c r="AM40" s="42">
        <f>+(0)+(0)+(0)+(0)+(0)+(0)</f>
        <v>0</v>
      </c>
      <c r="AN40" s="35">
        <v>0</v>
      </c>
      <c r="AO40" s="65">
        <f t="shared" si="7"/>
        <v>0</v>
      </c>
      <c r="AP40" s="42">
        <f>+(0)+(0)+(0)+(0)+(0)+(0)</f>
        <v>0</v>
      </c>
      <c r="AQ40" s="42">
        <f>+(21)+(0)+(0)+(0)+(0)+(96)</f>
        <v>117</v>
      </c>
      <c r="AR40" s="68">
        <v>117</v>
      </c>
      <c r="AS40" s="71">
        <f t="shared" si="9"/>
        <v>0</v>
      </c>
      <c r="AT40" s="60">
        <f>+(0)+(0)+(0)+(78)+(54)+(108)</f>
        <v>240</v>
      </c>
      <c r="AU40" s="60">
        <f t="shared" si="31"/>
        <v>0</v>
      </c>
      <c r="AV40" s="94">
        <v>120</v>
      </c>
      <c r="AW40" s="71">
        <f t="shared" si="10"/>
        <v>120</v>
      </c>
      <c r="AX40" s="60">
        <f>+(120)+(0)+(30)+(0)</f>
        <v>150</v>
      </c>
      <c r="AY40" s="113">
        <f>+(138)+(0)+(174)+(0)+(0)+(78)+(0)+(0)</f>
        <v>390</v>
      </c>
      <c r="AZ40" s="72">
        <v>120</v>
      </c>
      <c r="BA40" s="72">
        <f>(+AW40+AX40+AY40)-AZ40</f>
        <v>540</v>
      </c>
      <c r="BB40" s="135">
        <f>+(0)+(0)+(0)+(54)</f>
        <v>54</v>
      </c>
      <c r="BC40" s="135">
        <f>+(96)+(0)+(78)+(0)+(126)+(0)+(0)+(0)</f>
        <v>300</v>
      </c>
      <c r="BD40" s="50">
        <v>120</v>
      </c>
      <c r="BE40" s="50">
        <f t="shared" si="47"/>
        <v>774</v>
      </c>
      <c r="BG40" s="139">
        <v>0</v>
      </c>
      <c r="BH40" s="139">
        <v>0</v>
      </c>
      <c r="BI40" s="139">
        <v>0</v>
      </c>
      <c r="BJ40" s="139">
        <v>0</v>
      </c>
      <c r="BK40" s="139">
        <v>0</v>
      </c>
      <c r="BL40" s="139">
        <v>0</v>
      </c>
      <c r="BM40" s="139">
        <v>0</v>
      </c>
      <c r="BN40" s="139">
        <v>0</v>
      </c>
      <c r="BO40" s="139">
        <v>0</v>
      </c>
      <c r="BP40" s="139">
        <v>0</v>
      </c>
      <c r="BQ40" s="139">
        <v>0</v>
      </c>
      <c r="BR40" s="139">
        <v>0</v>
      </c>
      <c r="BS40" s="206">
        <v>120</v>
      </c>
      <c r="BT40" s="205">
        <f t="shared" si="14"/>
        <v>654</v>
      </c>
      <c r="BU40" s="153">
        <f t="shared" si="13"/>
        <v>597</v>
      </c>
    </row>
    <row r="41" spans="1:73" ht="25.8" thickBot="1" x14ac:dyDescent="0.65">
      <c r="A41" s="53">
        <v>33</v>
      </c>
      <c r="B41" s="99" t="s">
        <v>369</v>
      </c>
      <c r="C41" s="100" t="s">
        <v>354</v>
      </c>
      <c r="D41" s="105">
        <v>44700</v>
      </c>
      <c r="E41" s="101">
        <v>1</v>
      </c>
      <c r="F41" s="101">
        <f t="shared" si="0"/>
        <v>533.33000000000004</v>
      </c>
      <c r="G41" s="101">
        <f t="shared" si="1"/>
        <v>576</v>
      </c>
      <c r="H41" s="102">
        <f t="shared" si="2"/>
        <v>1109.33</v>
      </c>
      <c r="I41" s="103">
        <v>14</v>
      </c>
      <c r="J41" s="81">
        <v>14</v>
      </c>
      <c r="L41" s="96">
        <v>46161</v>
      </c>
      <c r="M41" s="97"/>
      <c r="N41" s="98" t="str">
        <f t="shared" ca="1" si="3"/>
        <v>O.K.</v>
      </c>
      <c r="Z41" s="3" t="s">
        <v>369</v>
      </c>
      <c r="AA41" s="34">
        <v>0</v>
      </c>
      <c r="AB41" s="34">
        <v>0</v>
      </c>
      <c r="AC41" s="35">
        <v>0</v>
      </c>
      <c r="AD41" s="35">
        <v>0</v>
      </c>
      <c r="AE41" s="35">
        <v>0</v>
      </c>
      <c r="AF41" s="24">
        <v>0</v>
      </c>
      <c r="AG41" s="21">
        <f t="shared" si="4"/>
        <v>0</v>
      </c>
      <c r="AH41" s="42">
        <v>0</v>
      </c>
      <c r="AI41" s="42">
        <v>0</v>
      </c>
      <c r="AJ41" s="35">
        <v>0</v>
      </c>
      <c r="AK41" s="17">
        <f t="shared" si="5"/>
        <v>0</v>
      </c>
      <c r="AL41" s="42">
        <v>0</v>
      </c>
      <c r="AM41" s="42">
        <v>0</v>
      </c>
      <c r="AN41" s="35">
        <v>0</v>
      </c>
      <c r="AO41" s="65">
        <f t="shared" si="7"/>
        <v>0</v>
      </c>
      <c r="AP41" s="42">
        <f>+(0)+(0)+(0)+(0)+(0)+(0)</f>
        <v>0</v>
      </c>
      <c r="AQ41" s="42">
        <f>+(0)+(0)+(0)+(0)+(0)+(96)</f>
        <v>96</v>
      </c>
      <c r="AR41" s="68">
        <v>96</v>
      </c>
      <c r="AS41" s="71">
        <f t="shared" si="9"/>
        <v>0</v>
      </c>
      <c r="AT41" s="60">
        <f t="shared" si="31"/>
        <v>0</v>
      </c>
      <c r="AU41" s="60">
        <f>+(0)+(282)+(0)+(0)+(0)+(0)</f>
        <v>282</v>
      </c>
      <c r="AV41" s="94">
        <v>120</v>
      </c>
      <c r="AW41" s="71">
        <f t="shared" si="10"/>
        <v>162</v>
      </c>
      <c r="AX41" s="60">
        <f>+(0)+(0)+(96)+(0)</f>
        <v>96</v>
      </c>
      <c r="AY41" s="113">
        <f>+(0)+(0)+(0)+(0)+(54)+(0)+(132.6)+(21)</f>
        <v>207.6</v>
      </c>
      <c r="AZ41" s="71">
        <v>120</v>
      </c>
      <c r="BA41" s="71">
        <f>(+AW41+AX41+AY41)-AZ41</f>
        <v>345.6</v>
      </c>
      <c r="BB41" s="135">
        <f t="shared" si="17"/>
        <v>0</v>
      </c>
      <c r="BC41" s="135">
        <f>+(0)+(0)+(0)+(0)+(0)+(0)+(115.8)+(0)</f>
        <v>115.8</v>
      </c>
      <c r="BD41" s="50">
        <v>120</v>
      </c>
      <c r="BE41" s="50">
        <f t="shared" si="47"/>
        <v>341.40000000000003</v>
      </c>
      <c r="BG41" s="207">
        <v>30</v>
      </c>
      <c r="BH41" s="207">
        <v>96</v>
      </c>
      <c r="BI41" s="139">
        <v>0</v>
      </c>
      <c r="BJ41" s="139">
        <v>0</v>
      </c>
      <c r="BK41" s="139">
        <v>0</v>
      </c>
      <c r="BL41" s="139">
        <v>0</v>
      </c>
      <c r="BM41" s="139">
        <v>0</v>
      </c>
      <c r="BN41" s="139">
        <v>0</v>
      </c>
      <c r="BO41" s="139">
        <v>0</v>
      </c>
      <c r="BP41" s="139">
        <v>0</v>
      </c>
      <c r="BQ41" s="139">
        <v>0</v>
      </c>
      <c r="BR41" s="139">
        <v>0</v>
      </c>
      <c r="BS41" s="206">
        <v>120</v>
      </c>
      <c r="BT41" s="205">
        <f t="shared" si="14"/>
        <v>347.40000000000003</v>
      </c>
      <c r="BU41" s="153">
        <f t="shared" si="13"/>
        <v>576</v>
      </c>
    </row>
    <row r="42" spans="1:73" ht="25.8" thickBot="1" x14ac:dyDescent="0.65">
      <c r="A42" s="53">
        <v>34</v>
      </c>
      <c r="B42" s="99" t="s">
        <v>453</v>
      </c>
      <c r="C42" s="100" t="s">
        <v>165</v>
      </c>
      <c r="D42" s="105">
        <v>45441</v>
      </c>
      <c r="E42" s="101">
        <v>1</v>
      </c>
      <c r="F42" s="101">
        <f t="shared" si="0"/>
        <v>533.33000000000004</v>
      </c>
      <c r="G42" s="101">
        <f t="shared" ref="G42" si="48">+BU42</f>
        <v>1170</v>
      </c>
      <c r="H42" s="102">
        <f t="shared" ref="H42" si="49">+F42+G42</f>
        <v>1703.33</v>
      </c>
      <c r="I42" s="103">
        <v>13</v>
      </c>
      <c r="J42" s="81">
        <v>13</v>
      </c>
      <c r="K42" s="208" t="s">
        <v>309</v>
      </c>
      <c r="L42" s="96">
        <v>46070</v>
      </c>
      <c r="M42" s="97"/>
      <c r="N42" s="98" t="str">
        <f t="shared" ca="1" si="3"/>
        <v>O.K.</v>
      </c>
      <c r="Z42" s="3" t="s">
        <v>453</v>
      </c>
      <c r="AA42" s="70">
        <v>792</v>
      </c>
      <c r="AB42" s="34">
        <v>0</v>
      </c>
      <c r="AC42" s="35">
        <v>0</v>
      </c>
      <c r="AD42" s="35">
        <v>0</v>
      </c>
      <c r="AE42" s="35">
        <v>0</v>
      </c>
      <c r="AF42" s="24">
        <v>0</v>
      </c>
      <c r="AG42" s="21">
        <f t="shared" si="4"/>
        <v>0</v>
      </c>
      <c r="AH42" s="42">
        <v>0</v>
      </c>
      <c r="AI42" s="42">
        <v>0</v>
      </c>
      <c r="AJ42" s="35">
        <v>0</v>
      </c>
      <c r="AK42" s="17">
        <f t="shared" si="5"/>
        <v>0</v>
      </c>
      <c r="AL42" s="42">
        <v>0</v>
      </c>
      <c r="AM42" s="42">
        <v>0</v>
      </c>
      <c r="AN42" s="35">
        <v>0</v>
      </c>
      <c r="AO42" s="65">
        <f t="shared" si="7"/>
        <v>0</v>
      </c>
      <c r="AP42" s="42">
        <v>0</v>
      </c>
      <c r="AQ42" s="42">
        <v>0</v>
      </c>
      <c r="AR42" s="68">
        <v>0</v>
      </c>
      <c r="AS42" s="71">
        <f t="shared" si="9"/>
        <v>0</v>
      </c>
      <c r="AT42" s="60">
        <v>0</v>
      </c>
      <c r="AU42" s="60">
        <v>0</v>
      </c>
      <c r="AV42" s="94">
        <v>0</v>
      </c>
      <c r="AW42" s="71">
        <f t="shared" si="10"/>
        <v>0</v>
      </c>
      <c r="AX42" s="60">
        <f t="shared" si="26"/>
        <v>0</v>
      </c>
      <c r="AY42" s="113">
        <f>+(0)+(0)+(0)+(0)+(0)+(0)+(0)+(78)</f>
        <v>78</v>
      </c>
      <c r="AZ42" s="71">
        <v>78</v>
      </c>
      <c r="BA42" s="71">
        <f t="shared" ref="BA42" si="50">(+AW42+AX42+AY42)-AZ42</f>
        <v>0</v>
      </c>
      <c r="BB42" s="135">
        <f>+(0)+(0)+(0)+(153.6)</f>
        <v>153.6</v>
      </c>
      <c r="BC42" s="135">
        <f>+(0)+(54)+(96)+(0)+(0)+(0)+(0)+(120)</f>
        <v>270</v>
      </c>
      <c r="BD42" s="50">
        <v>150</v>
      </c>
      <c r="BE42" s="50">
        <f t="shared" si="47"/>
        <v>273.60000000000002</v>
      </c>
      <c r="BG42" s="139">
        <v>0</v>
      </c>
      <c r="BH42" s="139">
        <v>0</v>
      </c>
      <c r="BI42" s="139">
        <v>0</v>
      </c>
      <c r="BJ42" s="139">
        <v>0</v>
      </c>
      <c r="BK42" s="139">
        <v>0</v>
      </c>
      <c r="BL42" s="139">
        <v>0</v>
      </c>
      <c r="BM42" s="139">
        <v>0</v>
      </c>
      <c r="BN42" s="139">
        <v>0</v>
      </c>
      <c r="BO42" s="139">
        <v>0</v>
      </c>
      <c r="BP42" s="139">
        <v>0</v>
      </c>
      <c r="BQ42" s="139">
        <v>0</v>
      </c>
      <c r="BR42" s="139">
        <v>0</v>
      </c>
      <c r="BS42" s="206">
        <v>150</v>
      </c>
      <c r="BT42" s="205">
        <f t="shared" si="14"/>
        <v>123.60000000000002</v>
      </c>
      <c r="BU42" s="153">
        <f t="shared" si="13"/>
        <v>1170</v>
      </c>
    </row>
    <row r="43" spans="1:73" ht="25.8" thickBot="1" x14ac:dyDescent="0.65">
      <c r="A43" s="53">
        <v>35</v>
      </c>
      <c r="B43" s="143" t="s">
        <v>290</v>
      </c>
      <c r="C43" s="144" t="s">
        <v>165</v>
      </c>
      <c r="D43" s="145">
        <v>43710</v>
      </c>
      <c r="E43" s="146">
        <v>3</v>
      </c>
      <c r="F43" s="146">
        <f t="shared" si="0"/>
        <v>1599.9900000000002</v>
      </c>
      <c r="G43" s="146">
        <f t="shared" si="1"/>
        <v>1032</v>
      </c>
      <c r="H43" s="147">
        <f t="shared" si="2"/>
        <v>2631.9900000000002</v>
      </c>
      <c r="I43" s="148">
        <v>12</v>
      </c>
      <c r="J43" s="81">
        <v>12</v>
      </c>
      <c r="K43" s="208" t="s">
        <v>309</v>
      </c>
      <c r="L43" s="149">
        <v>46632</v>
      </c>
      <c r="M43" s="150"/>
      <c r="N43" s="151" t="str">
        <f t="shared" ca="1" si="3"/>
        <v>O.K.</v>
      </c>
      <c r="Z43" s="3" t="s">
        <v>290</v>
      </c>
      <c r="AA43" s="36">
        <v>0</v>
      </c>
      <c r="AB43" s="34">
        <v>0</v>
      </c>
      <c r="AC43" s="35">
        <v>0</v>
      </c>
      <c r="AD43" s="35">
        <v>0</v>
      </c>
      <c r="AE43" s="35">
        <v>0</v>
      </c>
      <c r="AF43" s="24">
        <v>0</v>
      </c>
      <c r="AG43" s="21">
        <f t="shared" si="4"/>
        <v>0</v>
      </c>
      <c r="AH43" s="42">
        <v>120</v>
      </c>
      <c r="AI43" s="42">
        <f>+(0)+(0)+(0)+(0)+(0)+(162)</f>
        <v>162</v>
      </c>
      <c r="AJ43" s="35">
        <v>150</v>
      </c>
      <c r="AK43" s="17">
        <f t="shared" si="5"/>
        <v>132</v>
      </c>
      <c r="AL43" s="42">
        <f>+(0)+(0)+(0)+(0)+(0)+(0)</f>
        <v>0</v>
      </c>
      <c r="AM43" s="42">
        <f>+(0)+(0)+(0)+(0)+(0)+(0)</f>
        <v>0</v>
      </c>
      <c r="AN43" s="35">
        <v>132</v>
      </c>
      <c r="AO43" s="24">
        <f t="shared" si="7"/>
        <v>0</v>
      </c>
      <c r="AP43" s="42">
        <f>+(0)+(54)+(0)+(0)+(0)+(0)</f>
        <v>54</v>
      </c>
      <c r="AQ43" s="42">
        <f>+(0)+(0)+(0)+(0)+(0)+(150)</f>
        <v>150</v>
      </c>
      <c r="AR43" s="68">
        <v>150</v>
      </c>
      <c r="AS43" s="71">
        <f t="shared" si="9"/>
        <v>54</v>
      </c>
      <c r="AT43" s="60">
        <f>+(108)+(0)+(0)+(0)+(54)+(0)</f>
        <v>162</v>
      </c>
      <c r="AU43" s="60">
        <f>+(0)+(120)+(0)+(0)+(0)+(0)</f>
        <v>120</v>
      </c>
      <c r="AV43" s="94">
        <v>150</v>
      </c>
      <c r="AW43" s="71">
        <f t="shared" si="10"/>
        <v>186</v>
      </c>
      <c r="AX43" s="60">
        <f>+(240)+(78)+(30)+(0)</f>
        <v>348</v>
      </c>
      <c r="AY43" s="113">
        <f>+(0)+(0)+(0)+(0)+(0)+(0)+(0)+(30)</f>
        <v>30</v>
      </c>
      <c r="AZ43" s="71">
        <v>150</v>
      </c>
      <c r="BA43" s="71">
        <f>(+AW43+AX43+AY43)-AZ43</f>
        <v>414</v>
      </c>
      <c r="BB43" s="135">
        <f>+(0)+(0)+(0)+(54.6)</f>
        <v>54.6</v>
      </c>
      <c r="BC43" s="135">
        <f>+(0)+(0)+(78)+(0)+(0)+(0)+(0)+(0)</f>
        <v>78</v>
      </c>
      <c r="BD43" s="50">
        <v>150</v>
      </c>
      <c r="BE43" s="50">
        <f t="shared" si="47"/>
        <v>396.6</v>
      </c>
      <c r="BG43" s="139">
        <v>0</v>
      </c>
      <c r="BH43" s="139">
        <v>0</v>
      </c>
      <c r="BI43" s="139">
        <v>0</v>
      </c>
      <c r="BJ43" s="139">
        <v>0</v>
      </c>
      <c r="BK43" s="139">
        <v>0</v>
      </c>
      <c r="BL43" s="139">
        <v>0</v>
      </c>
      <c r="BM43" s="139">
        <v>0</v>
      </c>
      <c r="BN43" s="139">
        <v>0</v>
      </c>
      <c r="BO43" s="139">
        <v>0</v>
      </c>
      <c r="BP43" s="139">
        <v>0</v>
      </c>
      <c r="BQ43" s="139">
        <v>0</v>
      </c>
      <c r="BR43" s="139">
        <v>0</v>
      </c>
      <c r="BS43" s="206">
        <v>150</v>
      </c>
      <c r="BT43" s="205">
        <f t="shared" si="14"/>
        <v>246.60000000000002</v>
      </c>
      <c r="BU43" s="153">
        <f t="shared" si="13"/>
        <v>1032</v>
      </c>
    </row>
    <row r="44" spans="1:73" ht="25.8" thickBot="1" x14ac:dyDescent="0.65">
      <c r="A44" s="53">
        <v>36</v>
      </c>
      <c r="B44" s="169" t="s">
        <v>444</v>
      </c>
      <c r="C44" s="170" t="s">
        <v>354</v>
      </c>
      <c r="D44" s="171">
        <v>45250</v>
      </c>
      <c r="E44" s="172">
        <v>0</v>
      </c>
      <c r="F44" s="172">
        <f t="shared" ref="F44" si="51">+E44*$C$1</f>
        <v>0</v>
      </c>
      <c r="G44" s="172">
        <f t="shared" ref="G44" si="52">+BU44</f>
        <v>0</v>
      </c>
      <c r="H44" s="173">
        <f t="shared" ref="H44" si="53">+F44+G44</f>
        <v>0</v>
      </c>
      <c r="I44" s="174">
        <v>15</v>
      </c>
      <c r="J44" s="81">
        <v>15</v>
      </c>
      <c r="L44" s="124" t="s">
        <v>441</v>
      </c>
      <c r="M44" s="167"/>
      <c r="N44" s="168"/>
      <c r="Z44" s="3" t="s">
        <v>444</v>
      </c>
      <c r="AA44" s="36"/>
      <c r="AB44" s="34"/>
      <c r="AC44" s="35"/>
      <c r="AD44" s="35"/>
      <c r="AE44" s="35"/>
      <c r="AF44" s="24"/>
      <c r="AG44" s="21"/>
      <c r="AH44" s="42"/>
      <c r="AI44" s="42"/>
      <c r="AJ44" s="35"/>
      <c r="AK44" s="17"/>
      <c r="AL44" s="42"/>
      <c r="AM44" s="42"/>
      <c r="AN44" s="35"/>
      <c r="AO44" s="24"/>
      <c r="AP44" s="42"/>
      <c r="AQ44" s="42"/>
      <c r="AR44" s="68"/>
      <c r="AS44" s="71"/>
      <c r="AT44" s="60"/>
      <c r="AU44" s="60"/>
      <c r="AV44" s="94"/>
      <c r="AW44" s="71"/>
      <c r="AX44" s="60"/>
      <c r="AY44" s="113"/>
      <c r="AZ44" s="72"/>
      <c r="BA44" s="72"/>
      <c r="BB44" s="135">
        <f t="shared" si="17"/>
        <v>0</v>
      </c>
      <c r="BC44" s="135">
        <f t="shared" si="18"/>
        <v>0</v>
      </c>
      <c r="BD44" s="50">
        <v>0</v>
      </c>
      <c r="BE44" s="50">
        <f t="shared" si="47"/>
        <v>0</v>
      </c>
      <c r="BG44" s="139">
        <v>0</v>
      </c>
      <c r="BH44" s="139">
        <v>0</v>
      </c>
      <c r="BI44" s="139">
        <v>0</v>
      </c>
      <c r="BJ44" s="139">
        <v>0</v>
      </c>
      <c r="BK44" s="139">
        <v>0</v>
      </c>
      <c r="BL44" s="139">
        <v>0</v>
      </c>
      <c r="BM44" s="139">
        <v>0</v>
      </c>
      <c r="BN44" s="139">
        <v>0</v>
      </c>
      <c r="BO44" s="139">
        <v>0</v>
      </c>
      <c r="BP44" s="139">
        <v>0</v>
      </c>
      <c r="BQ44" s="139">
        <v>0</v>
      </c>
      <c r="BR44" s="139">
        <v>0</v>
      </c>
      <c r="BS44" s="206">
        <v>0</v>
      </c>
      <c r="BT44" s="205">
        <f t="shared" si="14"/>
        <v>0</v>
      </c>
      <c r="BU44" s="153">
        <f t="shared" si="13"/>
        <v>0</v>
      </c>
    </row>
    <row r="45" spans="1:73" ht="25.8" thickBot="1" x14ac:dyDescent="0.65">
      <c r="A45" s="53">
        <v>37</v>
      </c>
      <c r="B45" s="143" t="s">
        <v>24</v>
      </c>
      <c r="C45" s="144" t="s">
        <v>166</v>
      </c>
      <c r="D45" s="143" t="s">
        <v>108</v>
      </c>
      <c r="E45" s="146">
        <v>7</v>
      </c>
      <c r="F45" s="146">
        <f t="shared" ref="F45:F67" si="54">+E45*$C$1</f>
        <v>3733.3100000000004</v>
      </c>
      <c r="G45" s="146">
        <f t="shared" ref="G45:G67" si="55">+BU45</f>
        <v>1998</v>
      </c>
      <c r="H45" s="147">
        <f t="shared" ref="H45:H67" si="56">+F45+G45</f>
        <v>5731.31</v>
      </c>
      <c r="I45" s="148">
        <v>9</v>
      </c>
      <c r="J45" s="81">
        <v>9</v>
      </c>
      <c r="L45" s="149">
        <v>46508</v>
      </c>
      <c r="M45" s="150"/>
      <c r="N45" s="151" t="str">
        <f t="shared" ca="1" si="3"/>
        <v>O.K.</v>
      </c>
      <c r="Z45" s="3" t="s">
        <v>24</v>
      </c>
      <c r="AA45" s="36">
        <v>450</v>
      </c>
      <c r="AB45" s="34">
        <v>150</v>
      </c>
      <c r="AC45" s="35">
        <v>150</v>
      </c>
      <c r="AD45" s="35">
        <v>120</v>
      </c>
      <c r="AE45" s="35">
        <v>78</v>
      </c>
      <c r="AF45" s="24">
        <v>78</v>
      </c>
      <c r="AG45" s="21">
        <f t="shared" ref="AG45:AG85" si="57">+AF45-AE45</f>
        <v>0</v>
      </c>
      <c r="AH45" s="42">
        <v>132</v>
      </c>
      <c r="AI45" s="42">
        <f>+(37.8)+(210)+(0)+(0)+(0)+(0)</f>
        <v>247.8</v>
      </c>
      <c r="AJ45" s="35">
        <v>150</v>
      </c>
      <c r="AK45" s="17">
        <f t="shared" ref="AK45:AK85" si="58">+AG45+(AH45+AI45)-AJ45</f>
        <v>229.8</v>
      </c>
      <c r="AL45" s="42">
        <f>+(0)+(0)+(378)+(0)+(0)+(0)</f>
        <v>378</v>
      </c>
      <c r="AM45" s="42">
        <f>+(0)+(25.2)+(78)+(0)+(0)+(0)</f>
        <v>103.2</v>
      </c>
      <c r="AN45" s="35">
        <v>150</v>
      </c>
      <c r="AO45" s="24">
        <f t="shared" ref="AO45:AO85" si="59">+AK45+AL45+AM45-AN45</f>
        <v>561</v>
      </c>
      <c r="AP45" s="42">
        <f>+(0)+(0)+(0)+(0)+(0)+(30)</f>
        <v>30</v>
      </c>
      <c r="AQ45" s="42">
        <f>+(174)+(96)+(54)+(0)+(0)+(96)</f>
        <v>420</v>
      </c>
      <c r="AR45" s="68">
        <v>150</v>
      </c>
      <c r="AS45" s="71">
        <f t="shared" ref="AS45:AS86" si="60">+AO45+AP45+AQ45-AR45</f>
        <v>861</v>
      </c>
      <c r="AT45" s="60">
        <f>+(0)+(0)+(306)+(0)+(54)+(0)</f>
        <v>360</v>
      </c>
      <c r="AU45" s="60">
        <f t="shared" si="31"/>
        <v>0</v>
      </c>
      <c r="AV45" s="94">
        <v>150</v>
      </c>
      <c r="AW45" s="71">
        <f t="shared" ref="AW45:AW86" si="61">+AS45+AT45+AU45-AV45</f>
        <v>1071</v>
      </c>
      <c r="AX45" s="60">
        <f>+(0)+(0)+(0)+(288)</f>
        <v>288</v>
      </c>
      <c r="AY45" s="113">
        <f>+(0)+(0)+(0)+(0)+(0)+(120)+(0)+(120)</f>
        <v>240</v>
      </c>
      <c r="AZ45" s="71">
        <v>150</v>
      </c>
      <c r="BA45" s="71">
        <f t="shared" ref="BA45:BA56" si="62">(+AW45+AX45+AY45)-AZ45</f>
        <v>1449</v>
      </c>
      <c r="BB45" s="135">
        <f t="shared" si="17"/>
        <v>0</v>
      </c>
      <c r="BC45" s="135">
        <f>+(0)+(54)+(0)+(0)+(0)+(0)+(78)+(192)</f>
        <v>324</v>
      </c>
      <c r="BD45" s="50">
        <v>150</v>
      </c>
      <c r="BE45" s="50">
        <f t="shared" si="47"/>
        <v>1623</v>
      </c>
      <c r="BG45" s="139">
        <v>0</v>
      </c>
      <c r="BH45" s="139">
        <v>0</v>
      </c>
      <c r="BI45" s="139">
        <v>0</v>
      </c>
      <c r="BJ45" s="139">
        <v>0</v>
      </c>
      <c r="BK45" s="139">
        <v>0</v>
      </c>
      <c r="BL45" s="139">
        <v>0</v>
      </c>
      <c r="BM45" s="139">
        <v>0</v>
      </c>
      <c r="BN45" s="139">
        <v>0</v>
      </c>
      <c r="BO45" s="139">
        <v>0</v>
      </c>
      <c r="BP45" s="139">
        <v>0</v>
      </c>
      <c r="BQ45" s="139">
        <v>0</v>
      </c>
      <c r="BR45" s="139">
        <v>0</v>
      </c>
      <c r="BS45" s="206">
        <v>150</v>
      </c>
      <c r="BT45" s="205">
        <f t="shared" si="14"/>
        <v>1473</v>
      </c>
      <c r="BU45" s="153">
        <f t="shared" si="13"/>
        <v>1998</v>
      </c>
    </row>
    <row r="46" spans="1:73" ht="25.8" thickBot="1" x14ac:dyDescent="0.65">
      <c r="A46" s="53">
        <v>38</v>
      </c>
      <c r="B46" s="83" t="s">
        <v>26</v>
      </c>
      <c r="C46" s="84" t="s">
        <v>168</v>
      </c>
      <c r="D46" s="83" t="s">
        <v>110</v>
      </c>
      <c r="E46" s="85">
        <v>15</v>
      </c>
      <c r="F46" s="85">
        <f t="shared" si="54"/>
        <v>7999.9500000000007</v>
      </c>
      <c r="G46" s="85">
        <f t="shared" si="55"/>
        <v>3086.4</v>
      </c>
      <c r="H46" s="86">
        <f t="shared" si="56"/>
        <v>11086.35</v>
      </c>
      <c r="I46" s="87">
        <v>1</v>
      </c>
      <c r="J46" s="81">
        <v>1</v>
      </c>
      <c r="L46" s="88"/>
      <c r="M46" s="89"/>
      <c r="N46" s="90" t="s">
        <v>170</v>
      </c>
      <c r="Z46" s="3" t="s">
        <v>26</v>
      </c>
      <c r="AA46" s="36">
        <v>1795.8</v>
      </c>
      <c r="AB46" s="34">
        <v>120</v>
      </c>
      <c r="AC46" s="35">
        <v>96</v>
      </c>
      <c r="AD46" s="35">
        <v>120</v>
      </c>
      <c r="AE46" s="35">
        <v>120</v>
      </c>
      <c r="AF46" s="24">
        <v>156</v>
      </c>
      <c r="AG46" s="21">
        <f t="shared" si="57"/>
        <v>36</v>
      </c>
      <c r="AH46" s="42">
        <v>78</v>
      </c>
      <c r="AI46" s="42">
        <f>+(0)+(0)+(54.6)+(0)+(0)+(54)</f>
        <v>108.6</v>
      </c>
      <c r="AJ46" s="35">
        <v>120</v>
      </c>
      <c r="AK46" s="17">
        <f t="shared" si="58"/>
        <v>102.6</v>
      </c>
      <c r="AL46" s="42">
        <f>+(0)+(0)+(0)+(0)+(0)+(0)</f>
        <v>0</v>
      </c>
      <c r="AM46" s="42">
        <f>+(78)+(0)+(0)+(0)+(78)+(0)</f>
        <v>156</v>
      </c>
      <c r="AN46" s="35">
        <v>120</v>
      </c>
      <c r="AO46" s="24">
        <f t="shared" si="59"/>
        <v>138.60000000000002</v>
      </c>
      <c r="AP46" s="42">
        <f>+(0)+(0)+(0)+(0)+(0)+(0)</f>
        <v>0</v>
      </c>
      <c r="AQ46" s="42">
        <f>+(0)+(0)+(0)+(0)+(78)+(108)</f>
        <v>186</v>
      </c>
      <c r="AR46" s="68">
        <v>120</v>
      </c>
      <c r="AS46" s="71">
        <f t="shared" si="60"/>
        <v>204.60000000000002</v>
      </c>
      <c r="AT46" s="60">
        <f>+(0)+(0)+(0)+(0)+(54)+(120)</f>
        <v>174</v>
      </c>
      <c r="AU46" s="60">
        <f t="shared" si="31"/>
        <v>0</v>
      </c>
      <c r="AV46" s="94">
        <v>120</v>
      </c>
      <c r="AW46" s="71">
        <f t="shared" si="61"/>
        <v>258.60000000000002</v>
      </c>
      <c r="AX46" s="60">
        <f t="shared" ref="AX46:AX396" si="63">+(0)+(0)+(0)+(0)</f>
        <v>0</v>
      </c>
      <c r="AY46" s="113">
        <f>+(0)+(0)+(96)+(0)+(0)+(0)+(0)+(0)</f>
        <v>96</v>
      </c>
      <c r="AZ46" s="72">
        <v>120</v>
      </c>
      <c r="BA46" s="72">
        <f t="shared" si="62"/>
        <v>234.60000000000002</v>
      </c>
      <c r="BB46" s="135">
        <f t="shared" si="17"/>
        <v>0</v>
      </c>
      <c r="BC46" s="135">
        <f t="shared" si="18"/>
        <v>0</v>
      </c>
      <c r="BD46" s="50">
        <v>120</v>
      </c>
      <c r="BE46" s="50">
        <f t="shared" si="47"/>
        <v>114.60000000000002</v>
      </c>
      <c r="BG46" s="139">
        <v>0</v>
      </c>
      <c r="BH46" s="139">
        <v>0</v>
      </c>
      <c r="BI46" s="139">
        <v>0</v>
      </c>
      <c r="BJ46" s="139">
        <v>0</v>
      </c>
      <c r="BK46" s="139">
        <v>0</v>
      </c>
      <c r="BL46" s="139">
        <v>0</v>
      </c>
      <c r="BM46" s="139">
        <v>0</v>
      </c>
      <c r="BN46" s="139">
        <v>0</v>
      </c>
      <c r="BO46" s="139">
        <v>0</v>
      </c>
      <c r="BP46" s="139">
        <v>0</v>
      </c>
      <c r="BQ46" s="139">
        <v>0</v>
      </c>
      <c r="BR46" s="139">
        <v>0</v>
      </c>
      <c r="BS46" s="206">
        <v>114.6</v>
      </c>
      <c r="BT46" s="205">
        <f t="shared" si="14"/>
        <v>0</v>
      </c>
      <c r="BU46" s="153">
        <f t="shared" si="13"/>
        <v>3086.4</v>
      </c>
    </row>
    <row r="47" spans="1:73" ht="25.8" thickBot="1" x14ac:dyDescent="0.65">
      <c r="A47" s="53">
        <v>39</v>
      </c>
      <c r="B47" s="143" t="s">
        <v>27</v>
      </c>
      <c r="C47" s="144" t="s">
        <v>166</v>
      </c>
      <c r="D47" s="143" t="s">
        <v>111</v>
      </c>
      <c r="E47" s="146">
        <v>9</v>
      </c>
      <c r="F47" s="146">
        <f t="shared" si="54"/>
        <v>4799.97</v>
      </c>
      <c r="G47" s="146">
        <f t="shared" si="55"/>
        <v>2984</v>
      </c>
      <c r="H47" s="147">
        <f t="shared" si="56"/>
        <v>7783.97</v>
      </c>
      <c r="I47" s="148">
        <v>6</v>
      </c>
      <c r="J47" s="81">
        <v>6</v>
      </c>
      <c r="L47" s="149">
        <v>46478</v>
      </c>
      <c r="M47" s="150"/>
      <c r="N47" s="151" t="str">
        <f t="shared" ref="N47:N55" ca="1" si="64">IF($B$2&lt;L47,"O.K.","A L E R T A ")</f>
        <v>O.K.</v>
      </c>
      <c r="O47" s="1" t="s">
        <v>193</v>
      </c>
      <c r="P47" s="1"/>
      <c r="Q47" s="1"/>
      <c r="R47" s="1"/>
      <c r="S47" s="1"/>
      <c r="T47" s="1"/>
      <c r="U47" s="1"/>
      <c r="V47" s="1"/>
      <c r="W47" s="1"/>
      <c r="Z47" s="3" t="s">
        <v>27</v>
      </c>
      <c r="AA47" s="36">
        <v>1517</v>
      </c>
      <c r="AB47" s="34">
        <v>96</v>
      </c>
      <c r="AC47" s="35">
        <v>96</v>
      </c>
      <c r="AD47" s="35">
        <v>150</v>
      </c>
      <c r="AE47" s="35">
        <v>150</v>
      </c>
      <c r="AF47" s="24">
        <v>234</v>
      </c>
      <c r="AG47" s="21">
        <f t="shared" si="57"/>
        <v>84</v>
      </c>
      <c r="AH47" s="42">
        <v>54</v>
      </c>
      <c r="AI47" s="42">
        <f>+(0)+(78)+(0)+(0)+(0)+(54)</f>
        <v>132</v>
      </c>
      <c r="AJ47" s="35">
        <v>150</v>
      </c>
      <c r="AK47" s="17">
        <f t="shared" si="58"/>
        <v>120</v>
      </c>
      <c r="AL47" s="42">
        <f>+(0)+(0)+(0)+(0)+(0)+(0)</f>
        <v>0</v>
      </c>
      <c r="AM47" s="42">
        <f>+(156)+(0)+(0)+(0)+(0)+(0)</f>
        <v>156</v>
      </c>
      <c r="AN47" s="35">
        <v>150</v>
      </c>
      <c r="AO47" s="24">
        <f t="shared" si="59"/>
        <v>126</v>
      </c>
      <c r="AP47" s="42">
        <f>+(0)+(0)+(0)+(0)+(0)+(0)</f>
        <v>0</v>
      </c>
      <c r="AQ47" s="42">
        <f>+(0)+(0)+(30)+(0)+(0)+(0)</f>
        <v>30</v>
      </c>
      <c r="AR47" s="68">
        <v>150</v>
      </c>
      <c r="AS47" s="71">
        <f t="shared" si="60"/>
        <v>6</v>
      </c>
      <c r="AT47" s="60">
        <f>+(0)+(0)+(0)+(78)+(54)+(0)</f>
        <v>132</v>
      </c>
      <c r="AU47" s="60">
        <f>+(0)+(51)+(0)+(0)+(0)+(0)</f>
        <v>51</v>
      </c>
      <c r="AV47" s="94">
        <v>150</v>
      </c>
      <c r="AW47" s="71">
        <f t="shared" si="61"/>
        <v>39</v>
      </c>
      <c r="AX47" s="60">
        <f t="shared" si="63"/>
        <v>0</v>
      </c>
      <c r="AY47" s="113">
        <f>+(120)+(0)+(0)+(0)+(0)+(0)+(0)+(108)</f>
        <v>228</v>
      </c>
      <c r="AZ47" s="71">
        <v>150</v>
      </c>
      <c r="BA47" s="71">
        <f t="shared" si="62"/>
        <v>117</v>
      </c>
      <c r="BB47" s="135">
        <f t="shared" si="17"/>
        <v>0</v>
      </c>
      <c r="BC47" s="135">
        <f>+(0)+(0)+(0)+(0)+(0)+(0)+(0)+(108)</f>
        <v>108</v>
      </c>
      <c r="BD47" s="50">
        <v>150</v>
      </c>
      <c r="BE47" s="50">
        <f t="shared" si="47"/>
        <v>75</v>
      </c>
      <c r="BG47" s="139">
        <v>0</v>
      </c>
      <c r="BH47" s="139">
        <v>0</v>
      </c>
      <c r="BI47" s="139">
        <v>0</v>
      </c>
      <c r="BJ47" s="139">
        <v>0</v>
      </c>
      <c r="BK47" s="139">
        <v>0</v>
      </c>
      <c r="BL47" s="139">
        <v>0</v>
      </c>
      <c r="BM47" s="139">
        <v>0</v>
      </c>
      <c r="BN47" s="139">
        <v>0</v>
      </c>
      <c r="BO47" s="139">
        <v>0</v>
      </c>
      <c r="BP47" s="139">
        <v>0</v>
      </c>
      <c r="BQ47" s="139">
        <v>0</v>
      </c>
      <c r="BR47" s="139">
        <v>0</v>
      </c>
      <c r="BS47" s="206">
        <v>75</v>
      </c>
      <c r="BT47" s="205">
        <f t="shared" si="14"/>
        <v>0</v>
      </c>
      <c r="BU47" s="153">
        <f t="shared" si="13"/>
        <v>2984</v>
      </c>
    </row>
    <row r="48" spans="1:73" ht="25.8" thickBot="1" x14ac:dyDescent="0.65">
      <c r="A48" s="53">
        <v>40</v>
      </c>
      <c r="B48" s="143" t="s">
        <v>206</v>
      </c>
      <c r="C48" s="144" t="s">
        <v>166</v>
      </c>
      <c r="D48" s="145">
        <v>42736</v>
      </c>
      <c r="E48" s="146">
        <v>6</v>
      </c>
      <c r="F48" s="146">
        <f t="shared" si="54"/>
        <v>3199.9800000000005</v>
      </c>
      <c r="G48" s="146">
        <f t="shared" si="55"/>
        <v>1645.8</v>
      </c>
      <c r="H48" s="147">
        <f t="shared" si="56"/>
        <v>4845.7800000000007</v>
      </c>
      <c r="I48" s="148">
        <v>10</v>
      </c>
      <c r="J48" s="81">
        <v>10</v>
      </c>
      <c r="K48" s="208" t="s">
        <v>309</v>
      </c>
      <c r="L48" s="149">
        <v>46712</v>
      </c>
      <c r="M48" s="150"/>
      <c r="N48" s="151" t="str">
        <f t="shared" ca="1" si="64"/>
        <v>O.K.</v>
      </c>
      <c r="Z48" s="3" t="s">
        <v>206</v>
      </c>
      <c r="AA48" s="36">
        <v>0</v>
      </c>
      <c r="AB48" s="34">
        <v>145.80000000000001</v>
      </c>
      <c r="AC48" s="35">
        <v>150</v>
      </c>
      <c r="AD48" s="35">
        <v>150</v>
      </c>
      <c r="AE48" s="35">
        <v>150</v>
      </c>
      <c r="AF48" s="24">
        <v>271.8</v>
      </c>
      <c r="AG48" s="21">
        <f t="shared" si="57"/>
        <v>121.80000000000001</v>
      </c>
      <c r="AH48" s="42">
        <v>54</v>
      </c>
      <c r="AI48" s="42">
        <f>+(0)+(78)+(0)+(0)+(0)+(54)</f>
        <v>132</v>
      </c>
      <c r="AJ48" s="35">
        <v>150</v>
      </c>
      <c r="AK48" s="17">
        <f t="shared" si="58"/>
        <v>157.80000000000001</v>
      </c>
      <c r="AL48" s="42">
        <f>+(0)+(0)+(0)+(0)+(0)+(0)</f>
        <v>0</v>
      </c>
      <c r="AM48" s="42">
        <f>+(78)+(132.6)+(0)+(0)+(78)+(0)</f>
        <v>288.60000000000002</v>
      </c>
      <c r="AN48" s="35">
        <v>150</v>
      </c>
      <c r="AO48" s="24">
        <f t="shared" si="59"/>
        <v>296.40000000000003</v>
      </c>
      <c r="AP48" s="42">
        <f>+(0)+(0)+(0)+(54)+(0)+(30)</f>
        <v>84</v>
      </c>
      <c r="AQ48" s="42">
        <f t="shared" ref="AQ48:AQ56" si="65">+(0)+(0)+(0)+(0)+(0)+(0)</f>
        <v>0</v>
      </c>
      <c r="AR48" s="68">
        <v>150</v>
      </c>
      <c r="AS48" s="71">
        <f t="shared" si="60"/>
        <v>230.40000000000003</v>
      </c>
      <c r="AT48" s="60">
        <f>+(0)+(0)+(0)+(0)+(54)+(0)</f>
        <v>54</v>
      </c>
      <c r="AU48" s="60">
        <f t="shared" si="31"/>
        <v>0</v>
      </c>
      <c r="AV48" s="94">
        <v>150</v>
      </c>
      <c r="AW48" s="71">
        <f t="shared" si="61"/>
        <v>134.40000000000003</v>
      </c>
      <c r="AX48" s="60">
        <f>+(0)+(0)+(75.6)+(0)</f>
        <v>75.599999999999994</v>
      </c>
      <c r="AY48" s="113">
        <f t="shared" si="16"/>
        <v>0</v>
      </c>
      <c r="AZ48" s="72">
        <v>150</v>
      </c>
      <c r="BA48" s="72">
        <f t="shared" si="62"/>
        <v>60.000000000000028</v>
      </c>
      <c r="BB48" s="135">
        <f>+(0)+(0)+(30)+(30)</f>
        <v>60</v>
      </c>
      <c r="BC48" s="135">
        <f>+(0)+(0)+(0)+(0)+(78)+(0)+(78)+(78)</f>
        <v>234</v>
      </c>
      <c r="BD48" s="50">
        <v>150</v>
      </c>
      <c r="BE48" s="50">
        <f t="shared" si="47"/>
        <v>204</v>
      </c>
      <c r="BG48" s="207">
        <v>78</v>
      </c>
      <c r="BH48" s="139">
        <v>0</v>
      </c>
      <c r="BI48" s="139">
        <v>0</v>
      </c>
      <c r="BJ48" s="139">
        <v>0</v>
      </c>
      <c r="BK48" s="139">
        <v>0</v>
      </c>
      <c r="BL48" s="139">
        <v>0</v>
      </c>
      <c r="BM48" s="139">
        <v>0</v>
      </c>
      <c r="BN48" s="139">
        <v>0</v>
      </c>
      <c r="BO48" s="139">
        <v>0</v>
      </c>
      <c r="BP48" s="139">
        <v>0</v>
      </c>
      <c r="BQ48" s="139">
        <v>0</v>
      </c>
      <c r="BR48" s="139">
        <v>0</v>
      </c>
      <c r="BS48" s="206">
        <v>150</v>
      </c>
      <c r="BT48" s="205">
        <f t="shared" si="14"/>
        <v>132</v>
      </c>
      <c r="BU48" s="153">
        <f t="shared" si="13"/>
        <v>1645.8</v>
      </c>
    </row>
    <row r="49" spans="1:73" ht="25.8" thickBot="1" x14ac:dyDescent="0.65">
      <c r="A49" s="53">
        <v>41</v>
      </c>
      <c r="B49" s="99" t="s">
        <v>449</v>
      </c>
      <c r="C49" s="100" t="s">
        <v>164</v>
      </c>
      <c r="D49" s="108">
        <v>45422</v>
      </c>
      <c r="E49" s="101">
        <v>0</v>
      </c>
      <c r="F49" s="101">
        <f t="shared" si="54"/>
        <v>0</v>
      </c>
      <c r="G49" s="101">
        <f t="shared" ref="G49" si="66">+BU49</f>
        <v>0</v>
      </c>
      <c r="H49" s="102">
        <f t="shared" ref="H49" si="67">+F49+G49</f>
        <v>0</v>
      </c>
      <c r="I49" s="103">
        <v>15</v>
      </c>
      <c r="J49" s="81">
        <v>15</v>
      </c>
      <c r="L49" s="96">
        <v>46152</v>
      </c>
      <c r="M49" s="97"/>
      <c r="N49" s="98" t="str">
        <f t="shared" ca="1" si="64"/>
        <v>O.K.</v>
      </c>
      <c r="Z49" s="3" t="s">
        <v>449</v>
      </c>
      <c r="AA49" s="36">
        <v>0</v>
      </c>
      <c r="AB49" s="34">
        <v>0</v>
      </c>
      <c r="AC49" s="35">
        <v>0</v>
      </c>
      <c r="AD49" s="35">
        <v>0</v>
      </c>
      <c r="AE49" s="35">
        <v>0</v>
      </c>
      <c r="AF49" s="24">
        <v>0</v>
      </c>
      <c r="AG49" s="21">
        <f t="shared" si="57"/>
        <v>0</v>
      </c>
      <c r="AH49" s="42">
        <v>0</v>
      </c>
      <c r="AI49" s="42">
        <v>0</v>
      </c>
      <c r="AJ49" s="35">
        <v>0</v>
      </c>
      <c r="AK49" s="17">
        <f t="shared" si="58"/>
        <v>0</v>
      </c>
      <c r="AL49" s="42">
        <v>0</v>
      </c>
      <c r="AM49" s="42">
        <v>0</v>
      </c>
      <c r="AN49" s="35">
        <v>0</v>
      </c>
      <c r="AO49" s="24">
        <f t="shared" si="59"/>
        <v>0</v>
      </c>
      <c r="AP49" s="42">
        <v>0</v>
      </c>
      <c r="AQ49" s="42">
        <v>0</v>
      </c>
      <c r="AR49" s="68">
        <v>0</v>
      </c>
      <c r="AS49" s="71">
        <f t="shared" si="60"/>
        <v>0</v>
      </c>
      <c r="AT49" s="60">
        <v>0</v>
      </c>
      <c r="AU49" s="60">
        <v>0</v>
      </c>
      <c r="AV49" s="94">
        <v>0</v>
      </c>
      <c r="AW49" s="71">
        <f t="shared" si="61"/>
        <v>0</v>
      </c>
      <c r="AX49" s="60">
        <f t="shared" si="63"/>
        <v>0</v>
      </c>
      <c r="AY49" s="113">
        <f t="shared" si="16"/>
        <v>0</v>
      </c>
      <c r="AZ49" s="72">
        <v>0</v>
      </c>
      <c r="BA49" s="72">
        <f t="shared" ref="BA49" si="68">(+AW49+AX49+AY49)-AZ49</f>
        <v>0</v>
      </c>
      <c r="BB49" s="135">
        <f t="shared" si="17"/>
        <v>0</v>
      </c>
      <c r="BC49" s="135">
        <f t="shared" si="18"/>
        <v>0</v>
      </c>
      <c r="BD49" s="50">
        <v>0</v>
      </c>
      <c r="BE49" s="50">
        <f t="shared" si="47"/>
        <v>0</v>
      </c>
      <c r="BG49" s="139">
        <v>0</v>
      </c>
      <c r="BH49" s="139">
        <v>0</v>
      </c>
      <c r="BI49" s="139">
        <v>0</v>
      </c>
      <c r="BJ49" s="139">
        <v>0</v>
      </c>
      <c r="BK49" s="139">
        <v>0</v>
      </c>
      <c r="BL49" s="139">
        <v>0</v>
      </c>
      <c r="BM49" s="139">
        <v>0</v>
      </c>
      <c r="BN49" s="139">
        <v>0</v>
      </c>
      <c r="BO49" s="139">
        <v>0</v>
      </c>
      <c r="BP49" s="139">
        <v>0</v>
      </c>
      <c r="BQ49" s="139">
        <v>0</v>
      </c>
      <c r="BR49" s="139">
        <v>0</v>
      </c>
      <c r="BS49" s="206">
        <v>0</v>
      </c>
      <c r="BT49" s="205">
        <f t="shared" si="14"/>
        <v>0</v>
      </c>
      <c r="BU49" s="153">
        <f t="shared" si="13"/>
        <v>0</v>
      </c>
    </row>
    <row r="50" spans="1:73" ht="25.8" thickBot="1" x14ac:dyDescent="0.65">
      <c r="A50" s="53">
        <v>42</v>
      </c>
      <c r="B50" s="99" t="s">
        <v>176</v>
      </c>
      <c r="C50" s="100" t="s">
        <v>168</v>
      </c>
      <c r="D50" s="108">
        <v>42552</v>
      </c>
      <c r="E50" s="101">
        <v>4</v>
      </c>
      <c r="F50" s="101">
        <f t="shared" si="54"/>
        <v>2133.3200000000002</v>
      </c>
      <c r="G50" s="101">
        <f t="shared" si="55"/>
        <v>1272</v>
      </c>
      <c r="H50" s="102">
        <f t="shared" si="56"/>
        <v>3405.32</v>
      </c>
      <c r="I50" s="103">
        <v>11</v>
      </c>
      <c r="J50" s="81">
        <v>11</v>
      </c>
      <c r="L50" s="96">
        <v>46204</v>
      </c>
      <c r="M50" s="97"/>
      <c r="N50" s="98" t="str">
        <f t="shared" ca="1" si="64"/>
        <v>O.K.</v>
      </c>
      <c r="Z50" s="3" t="s">
        <v>176</v>
      </c>
      <c r="AA50" s="36">
        <v>0</v>
      </c>
      <c r="AB50" s="34">
        <v>96</v>
      </c>
      <c r="AC50" s="35">
        <v>96</v>
      </c>
      <c r="AD50" s="35">
        <v>120</v>
      </c>
      <c r="AE50" s="35">
        <v>120</v>
      </c>
      <c r="AF50" s="24">
        <v>342</v>
      </c>
      <c r="AG50" s="21">
        <f t="shared" si="57"/>
        <v>222</v>
      </c>
      <c r="AH50" s="42">
        <v>78</v>
      </c>
      <c r="AI50" s="42">
        <f>+(0)+(0)+(0)+(78)+(0)+(54)</f>
        <v>132</v>
      </c>
      <c r="AJ50" s="35">
        <v>120</v>
      </c>
      <c r="AK50" s="17">
        <f t="shared" si="58"/>
        <v>312</v>
      </c>
      <c r="AL50" s="42">
        <f>+(0)+(0)+(0)+(0)+(0)+(0)</f>
        <v>0</v>
      </c>
      <c r="AM50" s="42">
        <f>+(0)+(0)+(0)+(0)+(0)+(0)</f>
        <v>0</v>
      </c>
      <c r="AN50" s="35">
        <v>120</v>
      </c>
      <c r="AO50" s="24">
        <f t="shared" si="59"/>
        <v>192</v>
      </c>
      <c r="AP50" s="42">
        <f t="shared" ref="AP50:AP57" si="69">+(0)+(0)+(0)+(0)+(0)+(0)</f>
        <v>0</v>
      </c>
      <c r="AQ50" s="42">
        <f>+(0)+(30)+(108)+(0)+(99)+(108)</f>
        <v>345</v>
      </c>
      <c r="AR50" s="68">
        <v>120</v>
      </c>
      <c r="AS50" s="71">
        <f t="shared" si="60"/>
        <v>417</v>
      </c>
      <c r="AT50" s="60">
        <f>+(0)+(0)+(0)+(0)+(54)+(228)</f>
        <v>282</v>
      </c>
      <c r="AU50" s="60">
        <f>+(0)+(108)+(0)+(0)+(0)+(0)</f>
        <v>108</v>
      </c>
      <c r="AV50" s="94">
        <v>120</v>
      </c>
      <c r="AW50" s="71">
        <f t="shared" si="61"/>
        <v>687</v>
      </c>
      <c r="AX50" s="60">
        <f>+(0)+(0)+(0)+(120)</f>
        <v>120</v>
      </c>
      <c r="AY50" s="113">
        <f>+(0)+(0)+(0)+(0)+(113.4)+(0)+(132.6)+(108)</f>
        <v>354</v>
      </c>
      <c r="AZ50" s="71">
        <v>120</v>
      </c>
      <c r="BA50" s="71">
        <f t="shared" si="62"/>
        <v>1041</v>
      </c>
      <c r="BB50" s="135">
        <f t="shared" si="17"/>
        <v>0</v>
      </c>
      <c r="BC50" s="135">
        <f>+(0)+(0)+(31.2)+(0)+(156)+(0)+(96)+(0)</f>
        <v>283.2</v>
      </c>
      <c r="BD50" s="50">
        <v>120</v>
      </c>
      <c r="BE50" s="50">
        <f t="shared" si="47"/>
        <v>1204.2</v>
      </c>
      <c r="BG50" s="139">
        <v>0</v>
      </c>
      <c r="BH50" s="139">
        <v>0</v>
      </c>
      <c r="BI50" s="139">
        <v>0</v>
      </c>
      <c r="BJ50" s="139">
        <v>0</v>
      </c>
      <c r="BK50" s="139">
        <v>0</v>
      </c>
      <c r="BL50" s="139">
        <v>0</v>
      </c>
      <c r="BM50" s="139">
        <v>0</v>
      </c>
      <c r="BN50" s="139">
        <v>0</v>
      </c>
      <c r="BO50" s="139">
        <v>0</v>
      </c>
      <c r="BP50" s="139">
        <v>0</v>
      </c>
      <c r="BQ50" s="139">
        <v>0</v>
      </c>
      <c r="BR50" s="139">
        <v>0</v>
      </c>
      <c r="BS50" s="206">
        <v>120</v>
      </c>
      <c r="BT50" s="205">
        <f t="shared" si="14"/>
        <v>1084.2</v>
      </c>
      <c r="BU50" s="153">
        <f t="shared" si="13"/>
        <v>1272</v>
      </c>
    </row>
    <row r="51" spans="1:73" ht="25.8" thickBot="1" x14ac:dyDescent="0.65">
      <c r="A51" s="53">
        <v>43</v>
      </c>
      <c r="B51" s="99" t="s">
        <v>177</v>
      </c>
      <c r="C51" s="100" t="s">
        <v>168</v>
      </c>
      <c r="D51" s="108">
        <v>42552</v>
      </c>
      <c r="E51" s="101">
        <v>4</v>
      </c>
      <c r="F51" s="101">
        <f t="shared" si="54"/>
        <v>2133.3200000000002</v>
      </c>
      <c r="G51" s="101">
        <f t="shared" si="55"/>
        <v>1296</v>
      </c>
      <c r="H51" s="102">
        <f t="shared" si="56"/>
        <v>3429.32</v>
      </c>
      <c r="I51" s="103">
        <v>11</v>
      </c>
      <c r="J51" s="81">
        <v>11</v>
      </c>
      <c r="L51" s="96">
        <v>46204</v>
      </c>
      <c r="M51" s="97"/>
      <c r="N51" s="98" t="str">
        <f t="shared" ca="1" si="64"/>
        <v>O.K.</v>
      </c>
      <c r="Z51" s="3" t="s">
        <v>177</v>
      </c>
      <c r="AA51" s="36">
        <v>0</v>
      </c>
      <c r="AB51" s="34">
        <v>96</v>
      </c>
      <c r="AC51" s="35">
        <v>120</v>
      </c>
      <c r="AD51" s="35">
        <v>120</v>
      </c>
      <c r="AE51" s="35">
        <v>120</v>
      </c>
      <c r="AF51" s="24">
        <v>234</v>
      </c>
      <c r="AG51" s="21">
        <f t="shared" si="57"/>
        <v>114</v>
      </c>
      <c r="AH51" s="42">
        <f>78+108</f>
        <v>186</v>
      </c>
      <c r="AI51" s="42">
        <f>+(0)+(78)+(0)+(0)+(0)+(162)</f>
        <v>240</v>
      </c>
      <c r="AJ51" s="35">
        <v>120</v>
      </c>
      <c r="AK51" s="17">
        <f t="shared" si="58"/>
        <v>420</v>
      </c>
      <c r="AL51" s="42">
        <f>+(0)+(0)+(0)+(0)+(30)+(0)</f>
        <v>30</v>
      </c>
      <c r="AM51" s="42">
        <f>+(78)+(216)+(0)+(0)+(78)+(0)</f>
        <v>372</v>
      </c>
      <c r="AN51" s="35">
        <v>120</v>
      </c>
      <c r="AO51" s="24">
        <f t="shared" si="59"/>
        <v>702</v>
      </c>
      <c r="AP51" s="42">
        <f t="shared" si="69"/>
        <v>0</v>
      </c>
      <c r="AQ51" s="42">
        <f>+(0)+(0)+(0)+(0)+(30)+(108)</f>
        <v>138</v>
      </c>
      <c r="AR51" s="68">
        <v>120</v>
      </c>
      <c r="AS51" s="71">
        <f t="shared" si="60"/>
        <v>720</v>
      </c>
      <c r="AT51" s="60">
        <f>+(0)+(0)+(0)+(0)+(108)+(0)</f>
        <v>108</v>
      </c>
      <c r="AU51" s="60">
        <f>+(0)+(108)+(0)+(0)+(0)+(0)</f>
        <v>108</v>
      </c>
      <c r="AV51" s="94">
        <v>120</v>
      </c>
      <c r="AW51" s="71">
        <f t="shared" si="61"/>
        <v>816</v>
      </c>
      <c r="AX51" s="60">
        <f t="shared" si="63"/>
        <v>0</v>
      </c>
      <c r="AY51" s="113">
        <f>+(0)+(0)+(0)+(0)+(0)+(78)+(208.2)+(0)</f>
        <v>286.2</v>
      </c>
      <c r="AZ51" s="72">
        <v>120</v>
      </c>
      <c r="BA51" s="72">
        <f t="shared" si="62"/>
        <v>982.2</v>
      </c>
      <c r="BB51" s="135">
        <f>+(0)+(0)+(0)+(54)</f>
        <v>54</v>
      </c>
      <c r="BC51" s="135">
        <f>+(0)+(0)+(0)+(0)+(78)+(0)+(0)+(0)</f>
        <v>78</v>
      </c>
      <c r="BD51" s="50">
        <v>120</v>
      </c>
      <c r="BE51" s="50">
        <f t="shared" si="47"/>
        <v>994.2</v>
      </c>
      <c r="BG51" s="139">
        <v>0</v>
      </c>
      <c r="BH51" s="139">
        <v>0</v>
      </c>
      <c r="BI51" s="139">
        <v>0</v>
      </c>
      <c r="BJ51" s="139">
        <v>0</v>
      </c>
      <c r="BK51" s="139">
        <v>0</v>
      </c>
      <c r="BL51" s="139">
        <v>0</v>
      </c>
      <c r="BM51" s="139">
        <v>0</v>
      </c>
      <c r="BN51" s="139">
        <v>0</v>
      </c>
      <c r="BO51" s="139">
        <v>0</v>
      </c>
      <c r="BP51" s="139">
        <v>0</v>
      </c>
      <c r="BQ51" s="139">
        <v>0</v>
      </c>
      <c r="BR51" s="139">
        <v>0</v>
      </c>
      <c r="BS51" s="206">
        <v>120</v>
      </c>
      <c r="BT51" s="205">
        <f t="shared" si="14"/>
        <v>874.2</v>
      </c>
      <c r="BU51" s="153">
        <f t="shared" si="13"/>
        <v>1296</v>
      </c>
    </row>
    <row r="52" spans="1:73" ht="25.8" thickBot="1" x14ac:dyDescent="0.65">
      <c r="A52" s="53">
        <v>44</v>
      </c>
      <c r="B52" s="143" t="s">
        <v>490</v>
      </c>
      <c r="C52" s="144" t="s">
        <v>164</v>
      </c>
      <c r="D52" s="145">
        <v>45728</v>
      </c>
      <c r="E52" s="146">
        <v>0</v>
      </c>
      <c r="F52" s="146">
        <f t="shared" si="54"/>
        <v>0</v>
      </c>
      <c r="G52" s="146">
        <f t="shared" ref="G52" si="70">+BU52</f>
        <v>0</v>
      </c>
      <c r="H52" s="147">
        <f t="shared" ref="H52" si="71">+F52+G52</f>
        <v>0</v>
      </c>
      <c r="I52" s="148">
        <v>15</v>
      </c>
      <c r="J52" s="81">
        <v>15</v>
      </c>
      <c r="L52" s="149">
        <v>46458</v>
      </c>
      <c r="M52" s="150"/>
      <c r="N52" s="151" t="str">
        <f t="shared" ca="1" si="64"/>
        <v>O.K.</v>
      </c>
      <c r="Z52" s="3" t="s">
        <v>490</v>
      </c>
      <c r="AA52" s="36"/>
      <c r="AB52" s="34"/>
      <c r="AC52" s="35"/>
      <c r="AD52" s="35"/>
      <c r="AE52" s="35"/>
      <c r="AF52" s="24"/>
      <c r="AG52" s="21"/>
      <c r="AH52" s="42"/>
      <c r="AI52" s="42"/>
      <c r="AJ52" s="35"/>
      <c r="AK52" s="17"/>
      <c r="AL52" s="42"/>
      <c r="AM52" s="42"/>
      <c r="AN52" s="35"/>
      <c r="AO52" s="24"/>
      <c r="AP52" s="42"/>
      <c r="AQ52" s="42"/>
      <c r="AR52" s="68"/>
      <c r="AS52" s="71"/>
      <c r="AT52" s="60"/>
      <c r="AU52" s="60"/>
      <c r="AV52" s="94"/>
      <c r="AW52" s="71"/>
      <c r="AX52" s="60"/>
      <c r="AY52" s="113"/>
      <c r="AZ52" s="72"/>
      <c r="BA52" s="72"/>
      <c r="BB52" s="135">
        <f t="shared" si="17"/>
        <v>0</v>
      </c>
      <c r="BC52" s="135">
        <f t="shared" si="18"/>
        <v>0</v>
      </c>
      <c r="BD52" s="50">
        <v>0</v>
      </c>
      <c r="BE52" s="50">
        <f t="shared" si="47"/>
        <v>0</v>
      </c>
      <c r="BG52" s="139">
        <v>0</v>
      </c>
      <c r="BH52" s="139">
        <v>0</v>
      </c>
      <c r="BI52" s="139">
        <v>0</v>
      </c>
      <c r="BJ52" s="139">
        <v>0</v>
      </c>
      <c r="BK52" s="139">
        <v>0</v>
      </c>
      <c r="BL52" s="139">
        <v>0</v>
      </c>
      <c r="BM52" s="139">
        <v>0</v>
      </c>
      <c r="BN52" s="139">
        <v>0</v>
      </c>
      <c r="BO52" s="139">
        <v>0</v>
      </c>
      <c r="BP52" s="139">
        <v>0</v>
      </c>
      <c r="BQ52" s="139">
        <v>0</v>
      </c>
      <c r="BR52" s="139">
        <v>0</v>
      </c>
      <c r="BS52" s="206">
        <v>0</v>
      </c>
      <c r="BT52" s="205">
        <f t="shared" si="14"/>
        <v>0</v>
      </c>
      <c r="BU52" s="153">
        <f t="shared" si="13"/>
        <v>0</v>
      </c>
    </row>
    <row r="53" spans="1:73" ht="25.8" thickBot="1" x14ac:dyDescent="0.65">
      <c r="A53" s="53">
        <v>45</v>
      </c>
      <c r="B53" s="143" t="s">
        <v>459</v>
      </c>
      <c r="C53" s="144" t="s">
        <v>165</v>
      </c>
      <c r="D53" s="145">
        <v>45667</v>
      </c>
      <c r="E53" s="146">
        <v>0</v>
      </c>
      <c r="F53" s="146">
        <f t="shared" si="54"/>
        <v>0</v>
      </c>
      <c r="G53" s="146">
        <f t="shared" ref="G53" si="72">+BU53</f>
        <v>168</v>
      </c>
      <c r="H53" s="147">
        <f t="shared" ref="H53" si="73">+F53+G53</f>
        <v>168</v>
      </c>
      <c r="I53" s="148">
        <v>15</v>
      </c>
      <c r="J53" s="81">
        <v>15</v>
      </c>
      <c r="L53" s="149">
        <v>46397</v>
      </c>
      <c r="M53" s="150"/>
      <c r="N53" s="151" t="str">
        <f t="shared" ca="1" si="64"/>
        <v>O.K.</v>
      </c>
      <c r="Z53" s="3" t="s">
        <v>459</v>
      </c>
      <c r="AA53" s="49">
        <v>168</v>
      </c>
      <c r="AB53" s="34"/>
      <c r="AC53" s="35"/>
      <c r="AD53" s="35"/>
      <c r="AE53" s="35"/>
      <c r="AF53" s="24"/>
      <c r="AG53" s="21"/>
      <c r="AH53" s="42"/>
      <c r="AI53" s="42"/>
      <c r="AJ53" s="35"/>
      <c r="AK53" s="17"/>
      <c r="AL53" s="42"/>
      <c r="AM53" s="42"/>
      <c r="AN53" s="35"/>
      <c r="AO53" s="24"/>
      <c r="AP53" s="42"/>
      <c r="AQ53" s="42"/>
      <c r="AR53" s="68"/>
      <c r="AS53" s="71"/>
      <c r="AT53" s="60"/>
      <c r="AU53" s="60"/>
      <c r="AV53" s="94"/>
      <c r="AW53" s="71"/>
      <c r="AX53" s="60"/>
      <c r="AY53" s="113"/>
      <c r="AZ53" s="72"/>
      <c r="BA53" s="72"/>
      <c r="BB53" s="135">
        <f t="shared" si="17"/>
        <v>0</v>
      </c>
      <c r="BC53" s="135">
        <f t="shared" si="18"/>
        <v>0</v>
      </c>
      <c r="BD53" s="50">
        <v>0</v>
      </c>
      <c r="BE53" s="50">
        <f t="shared" ref="BE53" si="74">(BA53+BB53+BC53)-BD53</f>
        <v>0</v>
      </c>
      <c r="BG53" s="139">
        <v>0</v>
      </c>
      <c r="BH53" s="139">
        <v>0</v>
      </c>
      <c r="BI53" s="139">
        <v>0</v>
      </c>
      <c r="BJ53" s="139">
        <v>0</v>
      </c>
      <c r="BK53" s="139">
        <v>0</v>
      </c>
      <c r="BL53" s="139">
        <v>0</v>
      </c>
      <c r="BM53" s="139">
        <v>0</v>
      </c>
      <c r="BN53" s="139">
        <v>0</v>
      </c>
      <c r="BO53" s="139">
        <v>0</v>
      </c>
      <c r="BP53" s="139">
        <v>0</v>
      </c>
      <c r="BQ53" s="139">
        <v>0</v>
      </c>
      <c r="BR53" s="139">
        <v>0</v>
      </c>
      <c r="BS53" s="206">
        <v>0</v>
      </c>
      <c r="BT53" s="205">
        <f t="shared" si="14"/>
        <v>0</v>
      </c>
      <c r="BU53" s="153">
        <f t="shared" si="13"/>
        <v>168</v>
      </c>
    </row>
    <row r="54" spans="1:73" ht="25.8" thickBot="1" x14ac:dyDescent="0.65">
      <c r="A54" s="53">
        <v>46</v>
      </c>
      <c r="B54" s="143" t="s">
        <v>234</v>
      </c>
      <c r="C54" s="144" t="s">
        <v>168</v>
      </c>
      <c r="D54" s="145">
        <v>43677</v>
      </c>
      <c r="E54" s="146">
        <v>4</v>
      </c>
      <c r="F54" s="146">
        <f t="shared" si="54"/>
        <v>2133.3200000000002</v>
      </c>
      <c r="G54" s="146">
        <f t="shared" si="55"/>
        <v>1080</v>
      </c>
      <c r="H54" s="147">
        <f t="shared" si="56"/>
        <v>3213.32</v>
      </c>
      <c r="I54" s="148">
        <v>11</v>
      </c>
      <c r="J54" s="81">
        <v>11</v>
      </c>
      <c r="L54" s="149">
        <v>46599</v>
      </c>
      <c r="M54" s="150"/>
      <c r="N54" s="151" t="str">
        <f t="shared" ca="1" si="64"/>
        <v>O.K.</v>
      </c>
      <c r="Z54" s="3" t="s">
        <v>234</v>
      </c>
      <c r="AA54" s="36">
        <v>0</v>
      </c>
      <c r="AB54" s="34">
        <v>0</v>
      </c>
      <c r="AC54" s="35">
        <v>0</v>
      </c>
      <c r="AD54" s="35">
        <v>120</v>
      </c>
      <c r="AE54" s="35">
        <v>120</v>
      </c>
      <c r="AF54" s="24">
        <v>210.6</v>
      </c>
      <c r="AG54" s="21">
        <f t="shared" si="57"/>
        <v>90.6</v>
      </c>
      <c r="AH54" s="42">
        <f>108.6+108</f>
        <v>216.6</v>
      </c>
      <c r="AI54" s="42">
        <f>+(0)+(240)+(0)+(0)+(0)+(162)</f>
        <v>402</v>
      </c>
      <c r="AJ54" s="35">
        <v>120</v>
      </c>
      <c r="AK54" s="17">
        <f t="shared" si="58"/>
        <v>589.20000000000005</v>
      </c>
      <c r="AL54" s="42">
        <f>+(0)+(0)+(0)+(0)+(0)+(0)</f>
        <v>0</v>
      </c>
      <c r="AM54" s="42">
        <f>+(0)+(0)+(0)+(0)+(0)+(0)</f>
        <v>0</v>
      </c>
      <c r="AN54" s="35">
        <v>120</v>
      </c>
      <c r="AO54" s="24">
        <f t="shared" si="59"/>
        <v>469.20000000000005</v>
      </c>
      <c r="AP54" s="42">
        <f t="shared" si="69"/>
        <v>0</v>
      </c>
      <c r="AQ54" s="42">
        <f>+(0)+(0)+(0)+(0)+(0)+(96)</f>
        <v>96</v>
      </c>
      <c r="AR54" s="68">
        <v>120</v>
      </c>
      <c r="AS54" s="71">
        <f t="shared" si="60"/>
        <v>445.20000000000005</v>
      </c>
      <c r="AT54" s="60">
        <f>+(357.6)+(0)+(0)+(0)+(156)+(108)</f>
        <v>621.6</v>
      </c>
      <c r="AU54" s="60">
        <f>+(0)+(174)+(0)+(0)+(0)+(0)</f>
        <v>174</v>
      </c>
      <c r="AV54" s="94">
        <v>120</v>
      </c>
      <c r="AW54" s="71">
        <f t="shared" si="61"/>
        <v>1120.8000000000002</v>
      </c>
      <c r="AX54" s="60">
        <f>+(0)+(0)+(30)+(0)</f>
        <v>30</v>
      </c>
      <c r="AY54" s="113">
        <f>+(0)+(0)+(96)+(0)+(0)+(0)+(0)+(0)</f>
        <v>96</v>
      </c>
      <c r="AZ54" s="72">
        <v>120</v>
      </c>
      <c r="BA54" s="72">
        <f t="shared" si="62"/>
        <v>1126.8000000000002</v>
      </c>
      <c r="BB54" s="135">
        <f>+(0)+(0)+(0)+(54)</f>
        <v>54</v>
      </c>
      <c r="BC54" s="135">
        <f>+(0)+(96)+(0)+(0)+(0)+(0)+(0)+(30)</f>
        <v>126</v>
      </c>
      <c r="BD54" s="50">
        <v>120</v>
      </c>
      <c r="BE54" s="50">
        <f t="shared" si="47"/>
        <v>1186.8000000000002</v>
      </c>
      <c r="BG54" s="139">
        <v>0</v>
      </c>
      <c r="BH54" s="207">
        <v>78</v>
      </c>
      <c r="BI54" s="139">
        <v>0</v>
      </c>
      <c r="BJ54" s="139">
        <v>0</v>
      </c>
      <c r="BK54" s="139">
        <v>0</v>
      </c>
      <c r="BL54" s="139">
        <v>0</v>
      </c>
      <c r="BM54" s="139">
        <v>0</v>
      </c>
      <c r="BN54" s="139">
        <v>0</v>
      </c>
      <c r="BO54" s="139">
        <v>0</v>
      </c>
      <c r="BP54" s="139">
        <v>0</v>
      </c>
      <c r="BQ54" s="139">
        <v>0</v>
      </c>
      <c r="BR54" s="139">
        <v>0</v>
      </c>
      <c r="BS54" s="206">
        <v>120</v>
      </c>
      <c r="BT54" s="205">
        <f t="shared" si="14"/>
        <v>1144.8000000000002</v>
      </c>
      <c r="BU54" s="153">
        <f t="shared" si="13"/>
        <v>1080</v>
      </c>
    </row>
    <row r="55" spans="1:73" ht="25.8" thickBot="1" x14ac:dyDescent="0.65">
      <c r="A55" s="53">
        <v>47</v>
      </c>
      <c r="B55" s="143" t="s">
        <v>235</v>
      </c>
      <c r="C55" s="144" t="s">
        <v>168</v>
      </c>
      <c r="D55" s="145">
        <v>42887</v>
      </c>
      <c r="E55" s="146">
        <v>4</v>
      </c>
      <c r="F55" s="146">
        <f t="shared" si="54"/>
        <v>2133.3200000000002</v>
      </c>
      <c r="G55" s="146">
        <f t="shared" si="55"/>
        <v>1080</v>
      </c>
      <c r="H55" s="147">
        <f t="shared" si="56"/>
        <v>3213.32</v>
      </c>
      <c r="I55" s="148">
        <v>11</v>
      </c>
      <c r="J55" s="81">
        <v>11</v>
      </c>
      <c r="L55" s="149">
        <v>46539</v>
      </c>
      <c r="M55" s="150"/>
      <c r="N55" s="151" t="str">
        <f t="shared" ca="1" si="64"/>
        <v>O.K.</v>
      </c>
      <c r="Z55" s="3" t="s">
        <v>235</v>
      </c>
      <c r="AA55" s="36">
        <v>0</v>
      </c>
      <c r="AB55" s="34">
        <v>0</v>
      </c>
      <c r="AC55" s="35">
        <v>0</v>
      </c>
      <c r="AD55" s="35">
        <v>120</v>
      </c>
      <c r="AE55" s="35">
        <v>120</v>
      </c>
      <c r="AF55" s="24">
        <v>156</v>
      </c>
      <c r="AG55" s="21">
        <f t="shared" si="57"/>
        <v>36</v>
      </c>
      <c r="AH55" s="42">
        <v>156</v>
      </c>
      <c r="AI55" s="42">
        <f>+(0)+(78)+(0)+(0)+(0)+(54)</f>
        <v>132</v>
      </c>
      <c r="AJ55" s="35">
        <v>120</v>
      </c>
      <c r="AK55" s="17">
        <f t="shared" si="58"/>
        <v>204</v>
      </c>
      <c r="AL55" s="42">
        <f>+(0)+(0)+(0)+(0)+(0)+(0)</f>
        <v>0</v>
      </c>
      <c r="AM55" s="42">
        <f>+(78)+(108)+(0)+(0)+(0)+(0)</f>
        <v>186</v>
      </c>
      <c r="AN55" s="35">
        <v>120</v>
      </c>
      <c r="AO55" s="24">
        <f t="shared" si="59"/>
        <v>270</v>
      </c>
      <c r="AP55" s="42">
        <f t="shared" si="69"/>
        <v>0</v>
      </c>
      <c r="AQ55" s="42">
        <f>+(0)+(0)+(0)+(0)+(0)+(108)</f>
        <v>108</v>
      </c>
      <c r="AR55" s="68">
        <v>120</v>
      </c>
      <c r="AS55" s="71">
        <f t="shared" si="60"/>
        <v>258</v>
      </c>
      <c r="AT55" s="60">
        <f>+(0)+(0)+(0)+(0)+(108)+(0)</f>
        <v>108</v>
      </c>
      <c r="AU55" s="60">
        <f>+(0)+(108)+(0)+(0)+(0)+(0)</f>
        <v>108</v>
      </c>
      <c r="AV55" s="94">
        <v>120</v>
      </c>
      <c r="AW55" s="71">
        <f t="shared" si="61"/>
        <v>354</v>
      </c>
      <c r="AX55" s="60">
        <f t="shared" si="63"/>
        <v>0</v>
      </c>
      <c r="AY55" s="113">
        <f>+(0)+(0)+(0)+(0)+(0)+(0)+(264)+(78)</f>
        <v>342</v>
      </c>
      <c r="AZ55" s="71">
        <v>120</v>
      </c>
      <c r="BA55" s="71">
        <f t="shared" si="62"/>
        <v>576</v>
      </c>
      <c r="BB55" s="135">
        <f>+(0)+(0)+(0)+(54)</f>
        <v>54</v>
      </c>
      <c r="BC55" s="135">
        <f>+(0)+(0)+(0)+(0)+(78)+(0)+(0)+(0)</f>
        <v>78</v>
      </c>
      <c r="BD55" s="50">
        <v>120</v>
      </c>
      <c r="BE55" s="50">
        <f t="shared" si="47"/>
        <v>588</v>
      </c>
      <c r="BG55" s="139">
        <v>0</v>
      </c>
      <c r="BH55" s="139">
        <v>0</v>
      </c>
      <c r="BI55" s="139">
        <v>0</v>
      </c>
      <c r="BJ55" s="139">
        <v>0</v>
      </c>
      <c r="BK55" s="139">
        <v>0</v>
      </c>
      <c r="BL55" s="139">
        <v>0</v>
      </c>
      <c r="BM55" s="139">
        <v>0</v>
      </c>
      <c r="BN55" s="139">
        <v>0</v>
      </c>
      <c r="BO55" s="139">
        <v>0</v>
      </c>
      <c r="BP55" s="139">
        <v>0</v>
      </c>
      <c r="BQ55" s="139">
        <v>0</v>
      </c>
      <c r="BR55" s="139">
        <v>0</v>
      </c>
      <c r="BS55" s="206">
        <v>120</v>
      </c>
      <c r="BT55" s="205">
        <f t="shared" si="14"/>
        <v>468</v>
      </c>
      <c r="BU55" s="153">
        <f t="shared" si="13"/>
        <v>1080</v>
      </c>
    </row>
    <row r="56" spans="1:73" ht="25.8" thickBot="1" x14ac:dyDescent="0.65">
      <c r="A56" s="53">
        <v>48</v>
      </c>
      <c r="B56" s="83" t="s">
        <v>28</v>
      </c>
      <c r="C56" s="84" t="s">
        <v>169</v>
      </c>
      <c r="D56" s="83" t="s">
        <v>112</v>
      </c>
      <c r="E56" s="85">
        <v>15</v>
      </c>
      <c r="F56" s="85">
        <f t="shared" si="54"/>
        <v>7999.9500000000007</v>
      </c>
      <c r="G56" s="85">
        <f t="shared" si="55"/>
        <v>2102.5</v>
      </c>
      <c r="H56" s="86">
        <f t="shared" si="56"/>
        <v>10102.450000000001</v>
      </c>
      <c r="I56" s="87">
        <v>2</v>
      </c>
      <c r="J56" s="81">
        <v>2</v>
      </c>
      <c r="L56" s="88"/>
      <c r="M56" s="89"/>
      <c r="N56" s="90" t="s">
        <v>170</v>
      </c>
      <c r="O56" s="1" t="s">
        <v>193</v>
      </c>
      <c r="P56" s="1"/>
      <c r="Q56" s="1"/>
      <c r="R56" s="1"/>
      <c r="S56" s="1"/>
      <c r="T56" s="1"/>
      <c r="U56" s="1"/>
      <c r="V56" s="1"/>
      <c r="W56" s="1"/>
      <c r="Z56" s="3" t="s">
        <v>28</v>
      </c>
      <c r="AA56" s="36">
        <v>1202.5</v>
      </c>
      <c r="AB56" s="34">
        <v>96</v>
      </c>
      <c r="AC56" s="35">
        <v>108</v>
      </c>
      <c r="AD56" s="35">
        <v>120</v>
      </c>
      <c r="AE56" s="35">
        <v>120</v>
      </c>
      <c r="AF56" s="24">
        <v>234</v>
      </c>
      <c r="AG56" s="21">
        <f t="shared" si="57"/>
        <v>114</v>
      </c>
      <c r="AH56" s="42">
        <v>210</v>
      </c>
      <c r="AI56" s="42">
        <f>+(0)+(0)+(0)+(0)+(132)+(0)</f>
        <v>132</v>
      </c>
      <c r="AJ56" s="35">
        <v>120</v>
      </c>
      <c r="AK56" s="17">
        <f t="shared" si="58"/>
        <v>336</v>
      </c>
      <c r="AL56" s="42">
        <f>+(0)+(0)+(0)+(0)+(0)+(0)</f>
        <v>0</v>
      </c>
      <c r="AM56" s="42">
        <f>+(0)+(0)+(0)+(0)+(0)+(0)</f>
        <v>0</v>
      </c>
      <c r="AN56" s="35">
        <v>120</v>
      </c>
      <c r="AO56" s="24">
        <f t="shared" si="59"/>
        <v>216</v>
      </c>
      <c r="AP56" s="42">
        <f t="shared" si="69"/>
        <v>0</v>
      </c>
      <c r="AQ56" s="42">
        <f t="shared" si="65"/>
        <v>0</v>
      </c>
      <c r="AR56" s="68">
        <v>120</v>
      </c>
      <c r="AS56" s="71">
        <f t="shared" si="60"/>
        <v>96</v>
      </c>
      <c r="AT56" s="60">
        <f t="shared" ref="AT56:AU317" si="75">+(0)+(0)+(0)+(0)+(0)+(0)</f>
        <v>0</v>
      </c>
      <c r="AU56" s="60">
        <f t="shared" si="75"/>
        <v>0</v>
      </c>
      <c r="AV56" s="94">
        <v>96</v>
      </c>
      <c r="AW56" s="71">
        <f t="shared" si="61"/>
        <v>0</v>
      </c>
      <c r="AX56" s="60">
        <f t="shared" si="63"/>
        <v>0</v>
      </c>
      <c r="AY56" s="113">
        <f t="shared" si="16"/>
        <v>0</v>
      </c>
      <c r="AZ56" s="72">
        <v>0</v>
      </c>
      <c r="BA56" s="72">
        <f t="shared" si="62"/>
        <v>0</v>
      </c>
      <c r="BB56" s="135">
        <f t="shared" si="17"/>
        <v>0</v>
      </c>
      <c r="BC56" s="135">
        <f t="shared" si="18"/>
        <v>0</v>
      </c>
      <c r="BD56" s="50">
        <v>0</v>
      </c>
      <c r="BE56" s="50">
        <f t="shared" si="47"/>
        <v>0</v>
      </c>
      <c r="BG56" s="139">
        <v>0</v>
      </c>
      <c r="BH56" s="139">
        <v>0</v>
      </c>
      <c r="BI56" s="139">
        <v>0</v>
      </c>
      <c r="BJ56" s="139">
        <v>0</v>
      </c>
      <c r="BK56" s="139">
        <v>0</v>
      </c>
      <c r="BL56" s="139">
        <v>0</v>
      </c>
      <c r="BM56" s="139">
        <v>0</v>
      </c>
      <c r="BN56" s="139">
        <v>0</v>
      </c>
      <c r="BO56" s="139">
        <v>0</v>
      </c>
      <c r="BP56" s="139">
        <v>0</v>
      </c>
      <c r="BQ56" s="139">
        <v>0</v>
      </c>
      <c r="BR56" s="139">
        <v>0</v>
      </c>
      <c r="BS56" s="206">
        <v>0</v>
      </c>
      <c r="BT56" s="205">
        <f t="shared" si="14"/>
        <v>0</v>
      </c>
      <c r="BU56" s="153">
        <f t="shared" si="13"/>
        <v>2102.5</v>
      </c>
    </row>
    <row r="57" spans="1:73" ht="25.8" thickBot="1" x14ac:dyDescent="0.65">
      <c r="A57" s="53">
        <v>49</v>
      </c>
      <c r="B57" s="83" t="s">
        <v>29</v>
      </c>
      <c r="C57" s="84" t="s">
        <v>169</v>
      </c>
      <c r="D57" s="83" t="s">
        <v>113</v>
      </c>
      <c r="E57" s="85">
        <v>15</v>
      </c>
      <c r="F57" s="85">
        <f t="shared" si="54"/>
        <v>7999.9500000000007</v>
      </c>
      <c r="G57" s="85">
        <f t="shared" si="55"/>
        <v>3400</v>
      </c>
      <c r="H57" s="86">
        <f t="shared" si="56"/>
        <v>11399.95</v>
      </c>
      <c r="I57" s="87">
        <v>1</v>
      </c>
      <c r="J57" s="81">
        <v>1</v>
      </c>
      <c r="L57" s="88"/>
      <c r="M57" s="89"/>
      <c r="N57" s="90" t="s">
        <v>170</v>
      </c>
      <c r="Z57" s="3" t="s">
        <v>29</v>
      </c>
      <c r="AA57" s="34">
        <v>2104</v>
      </c>
      <c r="AB57" s="34">
        <v>120</v>
      </c>
      <c r="AC57" s="35">
        <v>96</v>
      </c>
      <c r="AD57" s="35">
        <v>120</v>
      </c>
      <c r="AE57" s="35">
        <v>120</v>
      </c>
      <c r="AF57" s="24">
        <v>342</v>
      </c>
      <c r="AG57" s="21">
        <f t="shared" si="57"/>
        <v>222</v>
      </c>
      <c r="AH57" s="42">
        <v>78</v>
      </c>
      <c r="AI57" s="42">
        <f>+(37.8)+(0)+(0)+(0)+(54)+(54)</f>
        <v>145.80000000000001</v>
      </c>
      <c r="AJ57" s="35">
        <v>120</v>
      </c>
      <c r="AK57" s="17">
        <f t="shared" si="58"/>
        <v>325.8</v>
      </c>
      <c r="AL57" s="42">
        <f>+(0)+(0)+(0)+(0)+(0)+(0)</f>
        <v>0</v>
      </c>
      <c r="AM57" s="42">
        <f>+(0)+(108)+(0)+(0)+(0)+(0)</f>
        <v>108</v>
      </c>
      <c r="AN57" s="35">
        <v>120</v>
      </c>
      <c r="AO57" s="24">
        <f t="shared" si="59"/>
        <v>313.8</v>
      </c>
      <c r="AP57" s="42">
        <f t="shared" si="69"/>
        <v>0</v>
      </c>
      <c r="AQ57" s="42">
        <f>+(0)+(0)+(0)+(0)+(0)+(75.6)</f>
        <v>75.599999999999994</v>
      </c>
      <c r="AR57" s="68">
        <v>120</v>
      </c>
      <c r="AS57" s="71">
        <f t="shared" si="60"/>
        <v>269.39999999999998</v>
      </c>
      <c r="AT57" s="60">
        <f>+(0)+(0)+(0)+(0)+(54)+(0)</f>
        <v>54</v>
      </c>
      <c r="AU57" s="60">
        <f>+(120)+(108)+(0)+(0)+(0)+(0)</f>
        <v>228</v>
      </c>
      <c r="AV57" s="94">
        <v>120</v>
      </c>
      <c r="AW57" s="71">
        <f t="shared" si="61"/>
        <v>431.4</v>
      </c>
      <c r="AX57" s="60">
        <f>+(30)+(0)+(0)+(0)</f>
        <v>30</v>
      </c>
      <c r="AY57" s="113">
        <f>+(0)+(0)+(0)+(0)+(0)+(0)+(156)+(0)</f>
        <v>156</v>
      </c>
      <c r="AZ57" s="72">
        <v>120</v>
      </c>
      <c r="BA57" s="72">
        <f>(+AW57+AX57+AY57)-AZ57</f>
        <v>497.4</v>
      </c>
      <c r="BB57" s="135">
        <f>+(0)+(0)+(0)+(37.8)</f>
        <v>37.799999999999997</v>
      </c>
      <c r="BC57" s="135">
        <f t="shared" si="18"/>
        <v>0</v>
      </c>
      <c r="BD57" s="50">
        <v>120</v>
      </c>
      <c r="BE57" s="50">
        <f t="shared" si="47"/>
        <v>415.19999999999993</v>
      </c>
      <c r="BG57" s="139">
        <v>0</v>
      </c>
      <c r="BH57" s="139">
        <v>0</v>
      </c>
      <c r="BI57" s="139">
        <v>0</v>
      </c>
      <c r="BJ57" s="139">
        <v>0</v>
      </c>
      <c r="BK57" s="139">
        <v>0</v>
      </c>
      <c r="BL57" s="139">
        <v>0</v>
      </c>
      <c r="BM57" s="139">
        <v>0</v>
      </c>
      <c r="BN57" s="139">
        <v>0</v>
      </c>
      <c r="BO57" s="139">
        <v>0</v>
      </c>
      <c r="BP57" s="139">
        <v>0</v>
      </c>
      <c r="BQ57" s="139">
        <v>0</v>
      </c>
      <c r="BR57" s="139">
        <v>0</v>
      </c>
      <c r="BS57" s="206">
        <v>120</v>
      </c>
      <c r="BT57" s="205">
        <f t="shared" si="14"/>
        <v>295.19999999999993</v>
      </c>
      <c r="BU57" s="153">
        <f t="shared" si="13"/>
        <v>3400</v>
      </c>
    </row>
    <row r="58" spans="1:73" ht="25.8" thickBot="1" x14ac:dyDescent="0.65">
      <c r="A58" s="53">
        <v>50</v>
      </c>
      <c r="B58" s="99" t="s">
        <v>477</v>
      </c>
      <c r="C58" s="100" t="s">
        <v>165</v>
      </c>
      <c r="D58" s="108">
        <v>45460</v>
      </c>
      <c r="E58" s="109">
        <v>1</v>
      </c>
      <c r="F58" s="101">
        <f t="shared" si="54"/>
        <v>533.33000000000004</v>
      </c>
      <c r="G58" s="101">
        <f t="shared" ref="G58" si="76">+BU58</f>
        <v>2056.8000000000002</v>
      </c>
      <c r="H58" s="102">
        <f t="shared" si="56"/>
        <v>2590.13</v>
      </c>
      <c r="I58" s="103">
        <v>12</v>
      </c>
      <c r="J58" s="209">
        <v>12</v>
      </c>
      <c r="K58" s="208" t="s">
        <v>309</v>
      </c>
      <c r="L58" s="106">
        <v>46130</v>
      </c>
      <c r="M58" s="107"/>
      <c r="N58" s="98" t="str">
        <f t="shared" ref="N58" ca="1" si="77">IF($B$2&lt;L58,"O.K.","A L E R T A ")</f>
        <v>O.K.</v>
      </c>
      <c r="Z58" s="3" t="s">
        <v>477</v>
      </c>
      <c r="AA58" s="37">
        <v>1651.8</v>
      </c>
      <c r="AB58" s="34"/>
      <c r="AC58" s="35"/>
      <c r="AD58" s="35"/>
      <c r="AE58" s="35"/>
      <c r="AF58" s="24"/>
      <c r="AG58" s="21"/>
      <c r="AH58" s="42"/>
      <c r="AI58" s="42"/>
      <c r="AJ58" s="35"/>
      <c r="AK58" s="17"/>
      <c r="AL58" s="42"/>
      <c r="AM58" s="42"/>
      <c r="AN58" s="35"/>
      <c r="AO58" s="24"/>
      <c r="AP58" s="42"/>
      <c r="AQ58" s="42"/>
      <c r="AR58" s="114"/>
      <c r="AS58" s="94"/>
      <c r="AT58" s="60"/>
      <c r="AU58" s="60"/>
      <c r="AV58" s="94"/>
      <c r="AW58" s="94"/>
      <c r="AX58" s="24">
        <f t="shared" ref="AX58" si="78">+(0)+(0)+(0)+(0)</f>
        <v>0</v>
      </c>
      <c r="AY58" s="24">
        <f>+(0)+(0)+(0)+(0)+(0)+(0)+(0)+(153)</f>
        <v>153</v>
      </c>
      <c r="AZ58" s="50">
        <v>150</v>
      </c>
      <c r="BA58" s="50">
        <f t="shared" ref="BA58" si="79">+AW58+AX58+AY58-AZ58</f>
        <v>3</v>
      </c>
      <c r="BB58" s="135">
        <f t="shared" ref="BB58" si="80">+(0)+(0)+(0)+(0)</f>
        <v>0</v>
      </c>
      <c r="BC58" s="135">
        <f>+(30)+(96)+(126)+(0)+(0)+(0)+(0)+(0)</f>
        <v>252</v>
      </c>
      <c r="BD58" s="50">
        <v>150</v>
      </c>
      <c r="BE58" s="50">
        <f t="shared" si="47"/>
        <v>105</v>
      </c>
      <c r="BG58" s="139">
        <v>0</v>
      </c>
      <c r="BH58" s="139">
        <v>0</v>
      </c>
      <c r="BI58" s="139">
        <v>0</v>
      </c>
      <c r="BJ58" s="139">
        <v>0</v>
      </c>
      <c r="BK58" s="139">
        <v>0</v>
      </c>
      <c r="BL58" s="139">
        <v>0</v>
      </c>
      <c r="BM58" s="139">
        <v>0</v>
      </c>
      <c r="BN58" s="139">
        <v>0</v>
      </c>
      <c r="BO58" s="139">
        <v>0</v>
      </c>
      <c r="BP58" s="139">
        <v>0</v>
      </c>
      <c r="BQ58" s="139">
        <v>0</v>
      </c>
      <c r="BR58" s="139">
        <v>0</v>
      </c>
      <c r="BS58" s="206">
        <v>105</v>
      </c>
      <c r="BT58" s="205">
        <f t="shared" si="14"/>
        <v>0</v>
      </c>
      <c r="BU58" s="153">
        <f t="shared" si="13"/>
        <v>2056.8000000000002</v>
      </c>
    </row>
    <row r="59" spans="1:73" ht="25.8" thickBot="1" x14ac:dyDescent="0.65">
      <c r="A59" s="53">
        <v>51</v>
      </c>
      <c r="B59" s="143" t="s">
        <v>339</v>
      </c>
      <c r="C59" s="144" t="s">
        <v>165</v>
      </c>
      <c r="D59" s="145">
        <v>42207</v>
      </c>
      <c r="E59" s="146">
        <v>5</v>
      </c>
      <c r="F59" s="146">
        <f t="shared" si="54"/>
        <v>2666.65</v>
      </c>
      <c r="G59" s="146">
        <f t="shared" si="55"/>
        <v>1596</v>
      </c>
      <c r="H59" s="147">
        <f t="shared" si="56"/>
        <v>4262.6499999999996</v>
      </c>
      <c r="I59" s="148">
        <v>10</v>
      </c>
      <c r="J59" s="81">
        <v>10</v>
      </c>
      <c r="K59" s="208" t="s">
        <v>309</v>
      </c>
      <c r="L59" s="149">
        <v>46590</v>
      </c>
      <c r="M59" s="150"/>
      <c r="N59" s="151" t="str">
        <f t="shared" ref="N59:N87" ca="1" si="81">IF($B$2&lt;L59,"O.K.","A L E R T A ")</f>
        <v>O.K.</v>
      </c>
      <c r="Z59" s="3" t="s">
        <v>339</v>
      </c>
      <c r="AA59" s="34">
        <v>0</v>
      </c>
      <c r="AB59" s="34">
        <v>150</v>
      </c>
      <c r="AC59" s="35">
        <v>150</v>
      </c>
      <c r="AD59" s="35">
        <v>96</v>
      </c>
      <c r="AE59" s="35">
        <v>150</v>
      </c>
      <c r="AF59" s="24">
        <v>270</v>
      </c>
      <c r="AG59" s="21">
        <f t="shared" si="57"/>
        <v>120</v>
      </c>
      <c r="AH59" s="42">
        <v>0</v>
      </c>
      <c r="AI59" s="42">
        <f>+(0)+(0)+(78)+(0)+(0)+(91.8)</f>
        <v>169.8</v>
      </c>
      <c r="AJ59" s="35">
        <v>150</v>
      </c>
      <c r="AK59" s="17">
        <f t="shared" si="58"/>
        <v>139.80000000000001</v>
      </c>
      <c r="AL59" s="42">
        <f>+(0)+(0)+(0)+(0)+(0)+(120)</f>
        <v>120</v>
      </c>
      <c r="AM59" s="42">
        <f>+(0)+(0)+(0)+(0)+(0)+(0)</f>
        <v>0</v>
      </c>
      <c r="AN59" s="35">
        <v>150</v>
      </c>
      <c r="AO59" s="24">
        <f t="shared" si="59"/>
        <v>109.80000000000001</v>
      </c>
      <c r="AP59" s="42">
        <f>+(0)+(0)+(0)+(0)+(0)+(108)</f>
        <v>108</v>
      </c>
      <c r="AQ59" s="42">
        <f>+(0)+(120)+(0)+(0)+(0)+(0)</f>
        <v>120</v>
      </c>
      <c r="AR59" s="68">
        <v>150</v>
      </c>
      <c r="AS59" s="71">
        <f t="shared" si="60"/>
        <v>187.8</v>
      </c>
      <c r="AT59" s="60">
        <f>+(0)+(0)+(150)+(0)+(54)+(0)</f>
        <v>204</v>
      </c>
      <c r="AU59" s="60">
        <f t="shared" si="75"/>
        <v>0</v>
      </c>
      <c r="AV59" s="94">
        <v>150</v>
      </c>
      <c r="AW59" s="71">
        <f t="shared" si="61"/>
        <v>241.8</v>
      </c>
      <c r="AX59" s="60">
        <f>+(0)+(54)+(0)+(96)</f>
        <v>150</v>
      </c>
      <c r="AY59" s="113">
        <f>+(0)+(0)+(0)+(0)+(0)+(0)+(0)+(120)</f>
        <v>120</v>
      </c>
      <c r="AZ59" s="71">
        <v>150</v>
      </c>
      <c r="BA59" s="71">
        <f t="shared" ref="BA59:BA61" si="82">(+AW59+AX59+AY59)-AZ59</f>
        <v>361.8</v>
      </c>
      <c r="BB59" s="135">
        <f t="shared" si="17"/>
        <v>0</v>
      </c>
      <c r="BC59" s="135">
        <f>+(0)+(0)+(0)+(0)+(0)+(120)+(0)+(120)</f>
        <v>240</v>
      </c>
      <c r="BD59" s="50">
        <v>150</v>
      </c>
      <c r="BE59" s="50">
        <f t="shared" si="47"/>
        <v>451.79999999999995</v>
      </c>
      <c r="BG59" s="139">
        <v>0</v>
      </c>
      <c r="BH59" s="139">
        <v>0</v>
      </c>
      <c r="BI59" s="139">
        <v>0</v>
      </c>
      <c r="BJ59" s="139">
        <v>0</v>
      </c>
      <c r="BK59" s="139">
        <v>0</v>
      </c>
      <c r="BL59" s="139">
        <v>0</v>
      </c>
      <c r="BM59" s="139">
        <v>0</v>
      </c>
      <c r="BN59" s="139">
        <v>0</v>
      </c>
      <c r="BO59" s="139">
        <v>0</v>
      </c>
      <c r="BP59" s="139">
        <v>0</v>
      </c>
      <c r="BQ59" s="139">
        <v>0</v>
      </c>
      <c r="BR59" s="139">
        <v>0</v>
      </c>
      <c r="BS59" s="206">
        <v>150</v>
      </c>
      <c r="BT59" s="205">
        <f t="shared" si="14"/>
        <v>301.79999999999995</v>
      </c>
      <c r="BU59" s="153">
        <f t="shared" si="13"/>
        <v>1596</v>
      </c>
    </row>
    <row r="60" spans="1:73" ht="25.8" thickBot="1" x14ac:dyDescent="0.65">
      <c r="A60" s="53">
        <v>52</v>
      </c>
      <c r="B60" s="143" t="s">
        <v>408</v>
      </c>
      <c r="C60" s="144" t="s">
        <v>165</v>
      </c>
      <c r="D60" s="145">
        <v>45093</v>
      </c>
      <c r="E60" s="146">
        <v>4</v>
      </c>
      <c r="F60" s="146">
        <f t="shared" ref="F60" si="83">+E60*$C$1</f>
        <v>2133.3200000000002</v>
      </c>
      <c r="G60" s="146">
        <f>+BU60</f>
        <v>841.8</v>
      </c>
      <c r="H60" s="147">
        <f t="shared" ref="H60" si="84">+F60+G60</f>
        <v>2975.12</v>
      </c>
      <c r="I60" s="148">
        <v>12</v>
      </c>
      <c r="J60" s="81">
        <v>12</v>
      </c>
      <c r="L60" s="149">
        <v>46681</v>
      </c>
      <c r="M60" s="150"/>
      <c r="N60" s="151" t="str">
        <f t="shared" ca="1" si="81"/>
        <v>O.K.</v>
      </c>
      <c r="Z60" s="3" t="s">
        <v>408</v>
      </c>
      <c r="AA60" s="70">
        <v>463.8</v>
      </c>
      <c r="AB60" s="34">
        <v>0</v>
      </c>
      <c r="AC60" s="35">
        <v>0</v>
      </c>
      <c r="AD60" s="35">
        <v>0</v>
      </c>
      <c r="AE60" s="35">
        <v>0</v>
      </c>
      <c r="AF60" s="24">
        <v>0</v>
      </c>
      <c r="AG60" s="21">
        <f t="shared" si="57"/>
        <v>0</v>
      </c>
      <c r="AH60" s="42">
        <v>0</v>
      </c>
      <c r="AI60" s="42">
        <v>0</v>
      </c>
      <c r="AJ60" s="35">
        <v>0</v>
      </c>
      <c r="AK60" s="17">
        <f t="shared" si="58"/>
        <v>0</v>
      </c>
      <c r="AL60" s="42">
        <v>0</v>
      </c>
      <c r="AM60" s="42">
        <v>0</v>
      </c>
      <c r="AN60" s="35">
        <v>0</v>
      </c>
      <c r="AO60" s="24">
        <f t="shared" si="59"/>
        <v>0</v>
      </c>
      <c r="AP60" s="42">
        <v>0</v>
      </c>
      <c r="AQ60" s="42">
        <v>0</v>
      </c>
      <c r="AR60" s="68">
        <v>0</v>
      </c>
      <c r="AS60" s="71">
        <f t="shared" si="60"/>
        <v>0</v>
      </c>
      <c r="AT60" s="60">
        <f t="shared" si="75"/>
        <v>0</v>
      </c>
      <c r="AU60" s="60">
        <f t="shared" si="75"/>
        <v>0</v>
      </c>
      <c r="AV60" s="94">
        <v>0</v>
      </c>
      <c r="AW60" s="71">
        <f t="shared" si="61"/>
        <v>0</v>
      </c>
      <c r="AX60" s="60">
        <f t="shared" ref="AX60" si="85">+(0)+(0)+(0)+(0)</f>
        <v>0</v>
      </c>
      <c r="AY60" s="113">
        <f>+(0)+(0)+(78)+(0)+(0)+(0)+(0)+(0)</f>
        <v>78</v>
      </c>
      <c r="AZ60" s="72">
        <v>78</v>
      </c>
      <c r="BA60" s="72">
        <f t="shared" si="82"/>
        <v>0</v>
      </c>
      <c r="BB60" s="135">
        <f>+(0)+(0)+(0)+(78)</f>
        <v>78</v>
      </c>
      <c r="BC60" s="135">
        <f>+(216)+(54)+(78)+(0)+(0)+(0)+(0)+(108)</f>
        <v>456</v>
      </c>
      <c r="BD60" s="50">
        <v>150</v>
      </c>
      <c r="BE60" s="50">
        <f t="shared" si="47"/>
        <v>384</v>
      </c>
      <c r="BG60" s="139">
        <v>0</v>
      </c>
      <c r="BH60" s="139">
        <v>0</v>
      </c>
      <c r="BI60" s="139">
        <v>0</v>
      </c>
      <c r="BJ60" s="139">
        <v>0</v>
      </c>
      <c r="BK60" s="139">
        <v>0</v>
      </c>
      <c r="BL60" s="139">
        <v>0</v>
      </c>
      <c r="BM60" s="139">
        <v>0</v>
      </c>
      <c r="BN60" s="139">
        <v>0</v>
      </c>
      <c r="BO60" s="139">
        <v>0</v>
      </c>
      <c r="BP60" s="139">
        <v>0</v>
      </c>
      <c r="BQ60" s="139">
        <v>0</v>
      </c>
      <c r="BR60" s="139">
        <v>0</v>
      </c>
      <c r="BS60" s="206">
        <v>150</v>
      </c>
      <c r="BT60" s="205">
        <f t="shared" si="14"/>
        <v>234</v>
      </c>
      <c r="BU60" s="153">
        <f t="shared" si="13"/>
        <v>841.8</v>
      </c>
    </row>
    <row r="61" spans="1:73" ht="25.8" thickBot="1" x14ac:dyDescent="0.65">
      <c r="A61" s="53">
        <v>53</v>
      </c>
      <c r="B61" s="143" t="s">
        <v>387</v>
      </c>
      <c r="C61" s="144" t="s">
        <v>165</v>
      </c>
      <c r="D61" s="145">
        <v>44927</v>
      </c>
      <c r="E61" s="146">
        <v>2</v>
      </c>
      <c r="F61" s="146">
        <f t="shared" ref="F61" si="86">+E61*$C$1</f>
        <v>1066.6600000000001</v>
      </c>
      <c r="G61" s="146">
        <f t="shared" ref="G61" si="87">+BU61</f>
        <v>1050</v>
      </c>
      <c r="H61" s="147">
        <f t="shared" ref="H61" si="88">+F61+G61</f>
        <v>2116.66</v>
      </c>
      <c r="I61" s="148">
        <v>13</v>
      </c>
      <c r="J61" s="81">
        <v>13</v>
      </c>
      <c r="L61" s="149">
        <v>46388</v>
      </c>
      <c r="M61" s="150"/>
      <c r="N61" s="151" t="str">
        <f t="shared" ca="1" si="81"/>
        <v>O.K.</v>
      </c>
      <c r="Z61" s="3" t="s">
        <v>387</v>
      </c>
      <c r="AA61" s="70">
        <v>450</v>
      </c>
      <c r="AB61" s="34">
        <v>0</v>
      </c>
      <c r="AC61" s="35">
        <v>0</v>
      </c>
      <c r="AD61" s="35">
        <v>0</v>
      </c>
      <c r="AE61" s="35">
        <v>0</v>
      </c>
      <c r="AF61" s="24">
        <v>0</v>
      </c>
      <c r="AG61" s="21">
        <f t="shared" si="57"/>
        <v>0</v>
      </c>
      <c r="AH61" s="42">
        <v>0</v>
      </c>
      <c r="AI61" s="42">
        <v>0</v>
      </c>
      <c r="AJ61" s="35">
        <v>0</v>
      </c>
      <c r="AK61" s="17">
        <f t="shared" si="58"/>
        <v>0</v>
      </c>
      <c r="AL61" s="42">
        <v>0</v>
      </c>
      <c r="AM61" s="42">
        <v>0</v>
      </c>
      <c r="AN61" s="35">
        <v>0</v>
      </c>
      <c r="AO61" s="24">
        <f t="shared" si="59"/>
        <v>0</v>
      </c>
      <c r="AP61" s="42">
        <v>0</v>
      </c>
      <c r="AQ61" s="42">
        <v>0</v>
      </c>
      <c r="AR61" s="68">
        <v>0</v>
      </c>
      <c r="AS61" s="71">
        <f t="shared" si="60"/>
        <v>0</v>
      </c>
      <c r="AT61" s="60">
        <f>+(0)+(0)+(0)+(0)+(54)+(0)</f>
        <v>54</v>
      </c>
      <c r="AU61" s="60">
        <f>+(0)+(120)+(0)+(0)+(0)+(0)</f>
        <v>120</v>
      </c>
      <c r="AV61" s="94">
        <v>150</v>
      </c>
      <c r="AW61" s="71">
        <f t="shared" si="61"/>
        <v>24</v>
      </c>
      <c r="AX61" s="60">
        <f>+(0)+(0)+(0)+(78)</f>
        <v>78</v>
      </c>
      <c r="AY61" s="113">
        <f>+(0)+(0)+(0)+(0)+(0)+(0)+(54)+(96)</f>
        <v>150</v>
      </c>
      <c r="AZ61" s="71">
        <v>150</v>
      </c>
      <c r="BA61" s="71">
        <f t="shared" si="82"/>
        <v>102</v>
      </c>
      <c r="BB61" s="135">
        <f t="shared" si="17"/>
        <v>0</v>
      </c>
      <c r="BC61" s="135">
        <f>+(174)+(0)+(96)+(0)+(0)+(0)+(0)+(0)</f>
        <v>270</v>
      </c>
      <c r="BD61" s="50">
        <v>150</v>
      </c>
      <c r="BE61" s="50">
        <f t="shared" si="47"/>
        <v>222</v>
      </c>
      <c r="BG61" s="139">
        <v>0</v>
      </c>
      <c r="BH61" s="139">
        <v>0</v>
      </c>
      <c r="BI61" s="139">
        <v>0</v>
      </c>
      <c r="BJ61" s="139">
        <v>0</v>
      </c>
      <c r="BK61" s="139">
        <v>0</v>
      </c>
      <c r="BL61" s="139">
        <v>0</v>
      </c>
      <c r="BM61" s="139">
        <v>0</v>
      </c>
      <c r="BN61" s="139">
        <v>0</v>
      </c>
      <c r="BO61" s="139">
        <v>0</v>
      </c>
      <c r="BP61" s="139">
        <v>0</v>
      </c>
      <c r="BQ61" s="139">
        <v>0</v>
      </c>
      <c r="BR61" s="139">
        <v>0</v>
      </c>
      <c r="BS61" s="206">
        <v>150</v>
      </c>
      <c r="BT61" s="205">
        <f t="shared" si="14"/>
        <v>72</v>
      </c>
      <c r="BU61" s="153">
        <f t="shared" si="13"/>
        <v>1050</v>
      </c>
    </row>
    <row r="62" spans="1:73" ht="25.8" thickBot="1" x14ac:dyDescent="0.65">
      <c r="A62" s="53">
        <v>54</v>
      </c>
      <c r="B62" s="143" t="s">
        <v>330</v>
      </c>
      <c r="C62" s="144" t="s">
        <v>165</v>
      </c>
      <c r="D62" s="145">
        <v>44271</v>
      </c>
      <c r="E62" s="146">
        <v>2</v>
      </c>
      <c r="F62" s="146">
        <f t="shared" si="54"/>
        <v>1066.6600000000001</v>
      </c>
      <c r="G62" s="146">
        <f t="shared" si="55"/>
        <v>750</v>
      </c>
      <c r="H62" s="147">
        <f t="shared" si="56"/>
        <v>1816.66</v>
      </c>
      <c r="I62" s="148">
        <v>13</v>
      </c>
      <c r="J62" s="81">
        <v>13</v>
      </c>
      <c r="K62" s="208" t="s">
        <v>309</v>
      </c>
      <c r="L62" s="149">
        <v>46462</v>
      </c>
      <c r="M62" s="150"/>
      <c r="N62" s="151" t="str">
        <f t="shared" ca="1" si="81"/>
        <v>O.K.</v>
      </c>
      <c r="Z62" s="3" t="s">
        <v>330</v>
      </c>
      <c r="AA62" s="34">
        <v>0</v>
      </c>
      <c r="AB62" s="34">
        <v>0</v>
      </c>
      <c r="AC62" s="35">
        <v>0</v>
      </c>
      <c r="AD62" s="35">
        <v>0</v>
      </c>
      <c r="AE62" s="35">
        <v>0</v>
      </c>
      <c r="AF62" s="24">
        <v>0</v>
      </c>
      <c r="AG62" s="21">
        <f t="shared" si="57"/>
        <v>0</v>
      </c>
      <c r="AH62" s="42">
        <v>0</v>
      </c>
      <c r="AI62" s="42">
        <v>0</v>
      </c>
      <c r="AJ62" s="35">
        <v>0</v>
      </c>
      <c r="AK62" s="17">
        <f t="shared" si="58"/>
        <v>0</v>
      </c>
      <c r="AL62" s="42">
        <f>+(0)+(0)+(0)+(0)+(0)+(0)</f>
        <v>0</v>
      </c>
      <c r="AM62" s="42">
        <f>+(0)+(0)+(0)+(0)+(0)+(0)</f>
        <v>0</v>
      </c>
      <c r="AN62" s="35">
        <v>0</v>
      </c>
      <c r="AO62" s="24">
        <f t="shared" si="59"/>
        <v>0</v>
      </c>
      <c r="AP62" s="42">
        <v>234</v>
      </c>
      <c r="AQ62" s="42">
        <f>+(0)+(0)+(0)+(0)+(0)+(192)</f>
        <v>192</v>
      </c>
      <c r="AR62" s="68">
        <v>150</v>
      </c>
      <c r="AS62" s="71">
        <f t="shared" si="60"/>
        <v>276</v>
      </c>
      <c r="AT62" s="60">
        <f>+(228)+(120)+(96)+(0)+(54)+(78)</f>
        <v>576</v>
      </c>
      <c r="AU62" s="60">
        <f>+(84)+(30)+(0)+(0)+(0)+(0)</f>
        <v>114</v>
      </c>
      <c r="AV62" s="94">
        <v>150</v>
      </c>
      <c r="AW62" s="71">
        <f t="shared" si="61"/>
        <v>816</v>
      </c>
      <c r="AX62" s="60">
        <f>+(21)+(0)+(0)+(312)</f>
        <v>333</v>
      </c>
      <c r="AY62" s="113">
        <f>+(0)+(0)+(0)+(0)+(0)+(78)+(78)+(0)</f>
        <v>156</v>
      </c>
      <c r="AZ62" s="72">
        <v>150</v>
      </c>
      <c r="BA62" s="72">
        <f>(+AW62+AX62+AY62)-AZ62</f>
        <v>1155</v>
      </c>
      <c r="BB62" s="135">
        <f>+(0)+(0)+(0)+(67.2)</f>
        <v>67.2</v>
      </c>
      <c r="BC62" s="135">
        <f>+(0)+(0)+(78)+(0)+(0)+(0)+(0)+(54.6)</f>
        <v>132.6</v>
      </c>
      <c r="BD62" s="50">
        <v>150</v>
      </c>
      <c r="BE62" s="50">
        <f t="shared" si="47"/>
        <v>1204.8</v>
      </c>
      <c r="BG62" s="139">
        <v>0</v>
      </c>
      <c r="BH62" s="139">
        <v>0</v>
      </c>
      <c r="BI62" s="139">
        <v>0</v>
      </c>
      <c r="BJ62" s="139">
        <v>0</v>
      </c>
      <c r="BK62" s="139">
        <v>0</v>
      </c>
      <c r="BL62" s="139">
        <v>0</v>
      </c>
      <c r="BM62" s="139">
        <v>0</v>
      </c>
      <c r="BN62" s="139">
        <v>0</v>
      </c>
      <c r="BO62" s="139">
        <v>0</v>
      </c>
      <c r="BP62" s="139">
        <v>0</v>
      </c>
      <c r="BQ62" s="139">
        <v>0</v>
      </c>
      <c r="BR62" s="139">
        <v>0</v>
      </c>
      <c r="BS62" s="206">
        <v>150</v>
      </c>
      <c r="BT62" s="205">
        <f t="shared" si="14"/>
        <v>1054.8</v>
      </c>
      <c r="BU62" s="153">
        <f t="shared" si="13"/>
        <v>750</v>
      </c>
    </row>
    <row r="63" spans="1:73" ht="25.8" thickBot="1" x14ac:dyDescent="0.65">
      <c r="A63" s="53">
        <v>55</v>
      </c>
      <c r="B63" s="99" t="s">
        <v>382</v>
      </c>
      <c r="C63" s="100" t="s">
        <v>354</v>
      </c>
      <c r="D63" s="108">
        <v>44725</v>
      </c>
      <c r="E63" s="101">
        <v>1</v>
      </c>
      <c r="F63" s="101">
        <f t="shared" ref="F63" si="89">+E63*$C$1</f>
        <v>533.33000000000004</v>
      </c>
      <c r="G63" s="101">
        <f t="shared" ref="G63" si="90">+BU63</f>
        <v>600</v>
      </c>
      <c r="H63" s="102">
        <f t="shared" ref="H63" si="91">+F63+G63</f>
        <v>1133.33</v>
      </c>
      <c r="I63" s="103">
        <v>14</v>
      </c>
      <c r="J63" s="81">
        <v>14</v>
      </c>
      <c r="L63" s="96">
        <v>46023</v>
      </c>
      <c r="M63" s="97"/>
      <c r="N63" s="98" t="str">
        <f t="shared" ca="1" si="81"/>
        <v>O.K.</v>
      </c>
      <c r="Z63" s="3" t="s">
        <v>382</v>
      </c>
      <c r="AA63" s="34">
        <v>0</v>
      </c>
      <c r="AB63" s="34">
        <v>0</v>
      </c>
      <c r="AC63" s="35">
        <v>0</v>
      </c>
      <c r="AD63" s="35">
        <v>0</v>
      </c>
      <c r="AE63" s="35">
        <v>0</v>
      </c>
      <c r="AF63" s="24">
        <v>0</v>
      </c>
      <c r="AG63" s="21">
        <f t="shared" si="57"/>
        <v>0</v>
      </c>
      <c r="AH63" s="42">
        <v>0</v>
      </c>
      <c r="AI63" s="42">
        <v>0</v>
      </c>
      <c r="AJ63" s="35">
        <v>0</v>
      </c>
      <c r="AK63" s="17">
        <f t="shared" si="58"/>
        <v>0</v>
      </c>
      <c r="AL63" s="42">
        <v>0</v>
      </c>
      <c r="AM63" s="42">
        <v>0</v>
      </c>
      <c r="AN63" s="35">
        <v>0</v>
      </c>
      <c r="AO63" s="24">
        <f t="shared" si="59"/>
        <v>0</v>
      </c>
      <c r="AP63" s="42">
        <f t="shared" ref="AP63:AP317" si="92">+(0)+(0)+(0)+(0)+(0)+(0)</f>
        <v>0</v>
      </c>
      <c r="AQ63" s="42">
        <f>+(0)+(0)+(126)+(0)+(0)+(96)</f>
        <v>222</v>
      </c>
      <c r="AR63" s="68">
        <v>120</v>
      </c>
      <c r="AS63" s="71">
        <f t="shared" si="60"/>
        <v>102</v>
      </c>
      <c r="AT63" s="60">
        <f>+(0)+(0)+(0)+(54.6)+(54)+(174)</f>
        <v>282.60000000000002</v>
      </c>
      <c r="AU63" s="60">
        <f>+(0)+(96)+(0)+(0)+(0)+(0)</f>
        <v>96</v>
      </c>
      <c r="AV63" s="94">
        <v>120</v>
      </c>
      <c r="AW63" s="71">
        <f t="shared" ref="AW63" si="93">+AS63+AT63+AU63-AV63</f>
        <v>360.6</v>
      </c>
      <c r="AX63" s="60">
        <f>+(0)+(0)+(0)+(120)</f>
        <v>120</v>
      </c>
      <c r="AY63" s="113">
        <f>+(0)+(0)+(96)+(0)+(0)+(0)+(139.2)+(0)</f>
        <v>235.2</v>
      </c>
      <c r="AZ63" s="72">
        <v>120</v>
      </c>
      <c r="BA63" s="72">
        <f t="shared" ref="BA63:BA68" si="94">(+AW63+AX63+AY63)-AZ63</f>
        <v>595.79999999999995</v>
      </c>
      <c r="BB63" s="135">
        <f>+(0)+(0)+(0)+(54)</f>
        <v>54</v>
      </c>
      <c r="BC63" s="135">
        <f>+(0)+(0)+(0)+(54.6)+(78)+(0)+(31.2)+(0)</f>
        <v>163.79999999999998</v>
      </c>
      <c r="BD63" s="50">
        <v>120</v>
      </c>
      <c r="BE63" s="50">
        <f t="shared" si="47"/>
        <v>693.59999999999991</v>
      </c>
      <c r="BG63" s="207">
        <v>96</v>
      </c>
      <c r="BH63" s="139">
        <v>0</v>
      </c>
      <c r="BI63" s="139">
        <v>0</v>
      </c>
      <c r="BJ63" s="139">
        <v>0</v>
      </c>
      <c r="BK63" s="139">
        <v>0</v>
      </c>
      <c r="BL63" s="139">
        <v>0</v>
      </c>
      <c r="BM63" s="139">
        <v>0</v>
      </c>
      <c r="BN63" s="139">
        <v>0</v>
      </c>
      <c r="BO63" s="139">
        <v>0</v>
      </c>
      <c r="BP63" s="139">
        <v>0</v>
      </c>
      <c r="BQ63" s="139">
        <v>0</v>
      </c>
      <c r="BR63" s="139">
        <v>0</v>
      </c>
      <c r="BS63" s="206">
        <v>120</v>
      </c>
      <c r="BT63" s="205">
        <f t="shared" si="14"/>
        <v>669.59999999999991</v>
      </c>
      <c r="BU63" s="153">
        <f t="shared" si="13"/>
        <v>600</v>
      </c>
    </row>
    <row r="64" spans="1:73" ht="25.8" thickBot="1" x14ac:dyDescent="0.65">
      <c r="A64" s="53">
        <v>56</v>
      </c>
      <c r="B64" s="99" t="s">
        <v>316</v>
      </c>
      <c r="C64" s="100" t="s">
        <v>168</v>
      </c>
      <c r="D64" s="99" t="s">
        <v>96</v>
      </c>
      <c r="E64" s="109">
        <v>8</v>
      </c>
      <c r="F64" s="101">
        <f t="shared" si="54"/>
        <v>4266.6400000000003</v>
      </c>
      <c r="G64" s="101">
        <f t="shared" si="55"/>
        <v>1951.2</v>
      </c>
      <c r="H64" s="102">
        <f t="shared" si="56"/>
        <v>6217.84</v>
      </c>
      <c r="I64" s="103">
        <v>7</v>
      </c>
      <c r="J64" s="81">
        <v>7</v>
      </c>
      <c r="L64" s="106">
        <v>46023</v>
      </c>
      <c r="M64" s="107"/>
      <c r="N64" s="98" t="str">
        <f t="shared" ca="1" si="81"/>
        <v>O.K.</v>
      </c>
      <c r="Z64" s="3" t="s">
        <v>316</v>
      </c>
      <c r="AA64" s="37">
        <v>945</v>
      </c>
      <c r="AB64" s="34">
        <v>96</v>
      </c>
      <c r="AC64" s="35">
        <v>96</v>
      </c>
      <c r="AD64" s="35">
        <v>96</v>
      </c>
      <c r="AE64" s="35">
        <v>109.2</v>
      </c>
      <c r="AF64" s="24">
        <v>109.2</v>
      </c>
      <c r="AG64" s="21">
        <f t="shared" si="57"/>
        <v>0</v>
      </c>
      <c r="AH64" s="42">
        <v>0</v>
      </c>
      <c r="AI64" s="42">
        <f>+(0)+(0)+(0)+(0)+(54)+(54)</f>
        <v>108</v>
      </c>
      <c r="AJ64" s="35">
        <v>108</v>
      </c>
      <c r="AK64" s="17">
        <f t="shared" si="58"/>
        <v>0</v>
      </c>
      <c r="AL64" s="42">
        <f>+(0)+(0)+(0)+(0)+(0)+(0)</f>
        <v>0</v>
      </c>
      <c r="AM64" s="42">
        <f>+(0)+(0)+(0)+(0)+(0)+(0)</f>
        <v>0</v>
      </c>
      <c r="AN64" s="35">
        <v>0</v>
      </c>
      <c r="AO64" s="65">
        <f t="shared" si="59"/>
        <v>0</v>
      </c>
      <c r="AP64" s="42">
        <f t="shared" si="92"/>
        <v>0</v>
      </c>
      <c r="AQ64" s="42">
        <f>+(0)+(30)+(54)+(0)+(21)+(75.6)</f>
        <v>180.6</v>
      </c>
      <c r="AR64" s="68">
        <v>120</v>
      </c>
      <c r="AS64" s="71">
        <f t="shared" si="60"/>
        <v>60.599999999999994</v>
      </c>
      <c r="AT64" s="60">
        <f>+(0)+(0)+(0)+(0)+(54)+(0)</f>
        <v>54</v>
      </c>
      <c r="AU64" s="60">
        <f>+(0)+(133.8)+(0)+(0)+(0)+(0)</f>
        <v>133.80000000000001</v>
      </c>
      <c r="AV64" s="94">
        <v>120</v>
      </c>
      <c r="AW64" s="71">
        <f t="shared" si="61"/>
        <v>128.4</v>
      </c>
      <c r="AX64" s="60">
        <f>+(0)+(0)+(0)+(78)</f>
        <v>78</v>
      </c>
      <c r="AY64" s="113">
        <f t="shared" si="16"/>
        <v>0</v>
      </c>
      <c r="AZ64" s="72">
        <v>120</v>
      </c>
      <c r="BA64" s="72">
        <f t="shared" si="94"/>
        <v>86.4</v>
      </c>
      <c r="BB64" s="135">
        <f t="shared" si="17"/>
        <v>0</v>
      </c>
      <c r="BC64" s="135">
        <f>+(0)+(0)+(0)+(0)+(0)+(54.6)+(0)+(0)</f>
        <v>54.6</v>
      </c>
      <c r="BD64" s="50">
        <v>120</v>
      </c>
      <c r="BE64" s="50">
        <f t="shared" si="47"/>
        <v>21</v>
      </c>
      <c r="BG64" s="139">
        <v>0</v>
      </c>
      <c r="BH64" s="139">
        <v>0</v>
      </c>
      <c r="BI64" s="139">
        <v>0</v>
      </c>
      <c r="BJ64" s="139">
        <v>0</v>
      </c>
      <c r="BK64" s="139">
        <v>0</v>
      </c>
      <c r="BL64" s="139">
        <v>0</v>
      </c>
      <c r="BM64" s="139">
        <v>0</v>
      </c>
      <c r="BN64" s="139">
        <v>0</v>
      </c>
      <c r="BO64" s="139">
        <v>0</v>
      </c>
      <c r="BP64" s="139">
        <v>0</v>
      </c>
      <c r="BQ64" s="139">
        <v>0</v>
      </c>
      <c r="BR64" s="139">
        <v>0</v>
      </c>
      <c r="BS64" s="206">
        <v>21</v>
      </c>
      <c r="BT64" s="205">
        <f t="shared" si="14"/>
        <v>0</v>
      </c>
      <c r="BU64" s="153">
        <f t="shared" si="13"/>
        <v>1951.2</v>
      </c>
    </row>
    <row r="65" spans="1:73" ht="25.8" thickBot="1" x14ac:dyDescent="0.65">
      <c r="A65" s="53">
        <v>57</v>
      </c>
      <c r="B65" s="143" t="s">
        <v>447</v>
      </c>
      <c r="C65" s="144" t="s">
        <v>168</v>
      </c>
      <c r="D65" s="145">
        <v>45292</v>
      </c>
      <c r="E65" s="183">
        <v>2</v>
      </c>
      <c r="F65" s="146">
        <f t="shared" si="54"/>
        <v>1066.6600000000001</v>
      </c>
      <c r="G65" s="146">
        <f t="shared" si="55"/>
        <v>618</v>
      </c>
      <c r="H65" s="147">
        <f t="shared" si="56"/>
        <v>1684.66</v>
      </c>
      <c r="I65" s="148">
        <v>13</v>
      </c>
      <c r="J65" s="81">
        <v>13</v>
      </c>
      <c r="L65" s="197">
        <v>46620</v>
      </c>
      <c r="M65" s="190"/>
      <c r="N65" s="151" t="str">
        <f t="shared" ca="1" si="81"/>
        <v>O.K.</v>
      </c>
      <c r="Z65" s="3" t="s">
        <v>447</v>
      </c>
      <c r="AA65" s="63">
        <v>258</v>
      </c>
      <c r="AB65" s="34">
        <v>0</v>
      </c>
      <c r="AC65" s="35">
        <v>0</v>
      </c>
      <c r="AD65" s="35">
        <v>0</v>
      </c>
      <c r="AE65" s="35">
        <v>0</v>
      </c>
      <c r="AF65" s="24">
        <v>0</v>
      </c>
      <c r="AG65" s="21">
        <f t="shared" si="57"/>
        <v>0</v>
      </c>
      <c r="AH65" s="42">
        <v>0</v>
      </c>
      <c r="AI65" s="42">
        <v>0</v>
      </c>
      <c r="AJ65" s="35">
        <v>0</v>
      </c>
      <c r="AK65" s="17">
        <f t="shared" si="58"/>
        <v>0</v>
      </c>
      <c r="AL65" s="42">
        <v>0</v>
      </c>
      <c r="AM65" s="42">
        <v>0</v>
      </c>
      <c r="AN65" s="35">
        <v>0</v>
      </c>
      <c r="AO65" s="24">
        <f t="shared" si="59"/>
        <v>0</v>
      </c>
      <c r="AP65" s="42">
        <v>0</v>
      </c>
      <c r="AQ65" s="42">
        <v>0</v>
      </c>
      <c r="AR65" s="114">
        <v>0</v>
      </c>
      <c r="AS65" s="94">
        <f t="shared" si="60"/>
        <v>0</v>
      </c>
      <c r="AT65" s="60">
        <v>0</v>
      </c>
      <c r="AU65" s="60">
        <v>0</v>
      </c>
      <c r="AV65" s="94">
        <v>0</v>
      </c>
      <c r="AW65" s="94">
        <f t="shared" si="61"/>
        <v>0</v>
      </c>
      <c r="AX65" s="113">
        <f t="shared" ref="AX65" si="95">+(0)+(0)+(0)+(0)</f>
        <v>0</v>
      </c>
      <c r="AY65" s="113">
        <f>+(0)+(0)+(96)+(0)+(0)+(0)+(0)+(78)</f>
        <v>174</v>
      </c>
      <c r="AZ65" s="71">
        <v>120</v>
      </c>
      <c r="BA65" s="71">
        <f t="shared" ref="BA65" si="96">+AW65+AX65+AY65-AZ65</f>
        <v>54</v>
      </c>
      <c r="BB65" s="135">
        <f>+(0)+(0)+(0)+(78)</f>
        <v>78</v>
      </c>
      <c r="BC65" s="135">
        <f>+(0)+(78)+(0)+(0)+(132)+(0)+(0)+(0)</f>
        <v>210</v>
      </c>
      <c r="BD65" s="50">
        <v>120</v>
      </c>
      <c r="BE65" s="50">
        <f t="shared" si="47"/>
        <v>222</v>
      </c>
      <c r="BG65" s="139">
        <v>0</v>
      </c>
      <c r="BH65" s="139">
        <v>0</v>
      </c>
      <c r="BI65" s="139">
        <v>0</v>
      </c>
      <c r="BJ65" s="139">
        <v>0</v>
      </c>
      <c r="BK65" s="139">
        <v>0</v>
      </c>
      <c r="BL65" s="139">
        <v>0</v>
      </c>
      <c r="BM65" s="139">
        <v>0</v>
      </c>
      <c r="BN65" s="139">
        <v>0</v>
      </c>
      <c r="BO65" s="139">
        <v>0</v>
      </c>
      <c r="BP65" s="139">
        <v>0</v>
      </c>
      <c r="BQ65" s="139">
        <v>0</v>
      </c>
      <c r="BR65" s="139">
        <v>0</v>
      </c>
      <c r="BS65" s="206">
        <v>120</v>
      </c>
      <c r="BT65" s="205">
        <f t="shared" si="14"/>
        <v>102</v>
      </c>
      <c r="BU65" s="153">
        <f t="shared" si="13"/>
        <v>618</v>
      </c>
    </row>
    <row r="66" spans="1:73" ht="25.8" thickBot="1" x14ac:dyDescent="0.65">
      <c r="A66" s="53">
        <v>58</v>
      </c>
      <c r="B66" s="104" t="s">
        <v>31</v>
      </c>
      <c r="C66" s="100" t="s">
        <v>165</v>
      </c>
      <c r="D66" s="104" t="s">
        <v>115</v>
      </c>
      <c r="E66" s="101">
        <v>5</v>
      </c>
      <c r="F66" s="101">
        <f t="shared" si="54"/>
        <v>2666.65</v>
      </c>
      <c r="G66" s="101">
        <f t="shared" si="55"/>
        <v>1658.65</v>
      </c>
      <c r="H66" s="102">
        <f t="shared" si="56"/>
        <v>4325.3</v>
      </c>
      <c r="I66" s="103">
        <v>10</v>
      </c>
      <c r="J66" s="81">
        <v>10</v>
      </c>
      <c r="L66" s="96">
        <v>46174</v>
      </c>
      <c r="M66" s="97"/>
      <c r="N66" s="98" t="str">
        <f t="shared" ca="1" si="81"/>
        <v>O.K.</v>
      </c>
      <c r="Z66" s="3" t="s">
        <v>31</v>
      </c>
      <c r="AA66" s="34">
        <v>150</v>
      </c>
      <c r="AB66" s="34">
        <v>150</v>
      </c>
      <c r="AC66" s="35">
        <v>150</v>
      </c>
      <c r="AD66" s="35">
        <v>150</v>
      </c>
      <c r="AE66" s="35">
        <v>150</v>
      </c>
      <c r="AF66" s="24">
        <v>326.05</v>
      </c>
      <c r="AG66" s="21">
        <f t="shared" si="57"/>
        <v>176.05</v>
      </c>
      <c r="AH66" s="42">
        <v>0</v>
      </c>
      <c r="AI66" s="42">
        <f>+(54.6)+(0)+(0)+(0)+(54)+(54)</f>
        <v>162.6</v>
      </c>
      <c r="AJ66" s="35">
        <v>150</v>
      </c>
      <c r="AK66" s="17">
        <f t="shared" si="58"/>
        <v>188.64999999999998</v>
      </c>
      <c r="AL66" s="42">
        <f>+(0)+(0)+(0)+(0)+(0)+(0)</f>
        <v>0</v>
      </c>
      <c r="AM66" s="42">
        <f>+(0)+(0)+(120)+(0)+(0)+(0)</f>
        <v>120</v>
      </c>
      <c r="AN66" s="35">
        <v>150</v>
      </c>
      <c r="AO66" s="66">
        <f t="shared" si="59"/>
        <v>158.64999999999998</v>
      </c>
      <c r="AP66" s="42">
        <f t="shared" si="92"/>
        <v>0</v>
      </c>
      <c r="AQ66" s="42">
        <f>+(0)+(0)+(0)+(0)+(0)+(0)</f>
        <v>0</v>
      </c>
      <c r="AR66" s="68">
        <v>150</v>
      </c>
      <c r="AS66" s="76">
        <f t="shared" si="60"/>
        <v>8.6499999999999773</v>
      </c>
      <c r="AT66" s="60">
        <f t="shared" si="75"/>
        <v>0</v>
      </c>
      <c r="AU66" s="60">
        <f t="shared" si="75"/>
        <v>0</v>
      </c>
      <c r="AV66" s="94">
        <v>8.65</v>
      </c>
      <c r="AW66" s="71">
        <f t="shared" si="61"/>
        <v>-2.3092638912203256E-14</v>
      </c>
      <c r="AX66" s="60">
        <f>+(0)+(0)+(0)+(294)</f>
        <v>294</v>
      </c>
      <c r="AY66" s="113">
        <f>+(0)+(0)+(96)+(0)+(0)+(37.8)+(0)+(30)</f>
        <v>163.80000000000001</v>
      </c>
      <c r="AZ66" s="71">
        <v>150</v>
      </c>
      <c r="BA66" s="71">
        <f t="shared" si="94"/>
        <v>307.8</v>
      </c>
      <c r="BB66" s="135">
        <f>+(30)+(0)+(0)+(0)</f>
        <v>30</v>
      </c>
      <c r="BC66" s="135">
        <f>+(0)+(0)+(96)+(0)+(0)+(0)+(0)+(0)</f>
        <v>96</v>
      </c>
      <c r="BD66" s="50">
        <v>150</v>
      </c>
      <c r="BE66" s="50">
        <f t="shared" si="47"/>
        <v>283.8</v>
      </c>
      <c r="BG66" s="139">
        <v>0</v>
      </c>
      <c r="BH66" s="139">
        <v>0</v>
      </c>
      <c r="BI66" s="139">
        <v>0</v>
      </c>
      <c r="BJ66" s="139">
        <v>0</v>
      </c>
      <c r="BK66" s="139">
        <v>0</v>
      </c>
      <c r="BL66" s="139">
        <v>0</v>
      </c>
      <c r="BM66" s="139">
        <v>0</v>
      </c>
      <c r="BN66" s="139">
        <v>0</v>
      </c>
      <c r="BO66" s="139">
        <v>0</v>
      </c>
      <c r="BP66" s="139">
        <v>0</v>
      </c>
      <c r="BQ66" s="139">
        <v>0</v>
      </c>
      <c r="BR66" s="139">
        <v>0</v>
      </c>
      <c r="BS66" s="206">
        <v>150</v>
      </c>
      <c r="BT66" s="205">
        <f t="shared" si="14"/>
        <v>133.80000000000001</v>
      </c>
      <c r="BU66" s="153">
        <f t="shared" si="13"/>
        <v>1658.65</v>
      </c>
    </row>
    <row r="67" spans="1:73" ht="25.8" thickBot="1" x14ac:dyDescent="0.65">
      <c r="A67" s="53">
        <v>59</v>
      </c>
      <c r="B67" s="99" t="s">
        <v>32</v>
      </c>
      <c r="C67" s="100" t="s">
        <v>162</v>
      </c>
      <c r="D67" s="108">
        <v>40369</v>
      </c>
      <c r="E67" s="101">
        <v>7</v>
      </c>
      <c r="F67" s="101">
        <f t="shared" si="54"/>
        <v>3733.3100000000004</v>
      </c>
      <c r="G67" s="101">
        <f t="shared" si="55"/>
        <v>1896</v>
      </c>
      <c r="H67" s="102">
        <f t="shared" si="56"/>
        <v>5629.31</v>
      </c>
      <c r="I67" s="103">
        <v>8</v>
      </c>
      <c r="J67" s="81">
        <v>8</v>
      </c>
      <c r="L67" s="96">
        <v>46213</v>
      </c>
      <c r="M67" s="97"/>
      <c r="N67" s="98" t="str">
        <f t="shared" ca="1" si="81"/>
        <v>O.K.</v>
      </c>
      <c r="Z67" s="3" t="s">
        <v>32</v>
      </c>
      <c r="AA67" s="34">
        <v>720</v>
      </c>
      <c r="AB67" s="34">
        <v>120</v>
      </c>
      <c r="AC67" s="35">
        <v>96</v>
      </c>
      <c r="AD67" s="35">
        <v>120</v>
      </c>
      <c r="AE67" s="35">
        <v>0</v>
      </c>
      <c r="AF67" s="24">
        <v>0</v>
      </c>
      <c r="AG67" s="21">
        <f t="shared" si="57"/>
        <v>0</v>
      </c>
      <c r="AH67" s="42">
        <v>210</v>
      </c>
      <c r="AI67" s="42">
        <f>+(54)+(54.6)+(0)+(0)+(0)+(132)</f>
        <v>240.6</v>
      </c>
      <c r="AJ67" s="35">
        <v>120</v>
      </c>
      <c r="AK67" s="17">
        <f t="shared" si="58"/>
        <v>330.6</v>
      </c>
      <c r="AL67" s="42">
        <f>+(0)+(0)+(0)+(0)+(0)+(0)</f>
        <v>0</v>
      </c>
      <c r="AM67" s="42">
        <f>+(0)+(54)+(0)+(0)+(0)+(0)</f>
        <v>54</v>
      </c>
      <c r="AN67" s="35">
        <v>120</v>
      </c>
      <c r="AO67" s="24">
        <f t="shared" si="59"/>
        <v>264.60000000000002</v>
      </c>
      <c r="AP67" s="42">
        <f t="shared" si="92"/>
        <v>0</v>
      </c>
      <c r="AQ67" s="42">
        <f>+(0)+(30)+(21)+(0)+(108)+(0)</f>
        <v>159</v>
      </c>
      <c r="AR67" s="68">
        <v>120</v>
      </c>
      <c r="AS67" s="71">
        <f t="shared" si="60"/>
        <v>303.60000000000002</v>
      </c>
      <c r="AT67" s="60">
        <f>+(0)+(0)+(0)+(0)+(54)+(0)</f>
        <v>54</v>
      </c>
      <c r="AU67" s="60">
        <f>+(0)+(504)+(0)+(0)+(0)+(0)</f>
        <v>504</v>
      </c>
      <c r="AV67" s="94">
        <v>120</v>
      </c>
      <c r="AW67" s="71">
        <f t="shared" si="61"/>
        <v>741.6</v>
      </c>
      <c r="AX67" s="60">
        <f>+(0)+(0)+(120)+(0)</f>
        <v>120</v>
      </c>
      <c r="AY67" s="113">
        <f>+(0)+(0)+(174)+(0)+(0)+(0)+(0)+(0)</f>
        <v>174</v>
      </c>
      <c r="AZ67" s="72">
        <v>120</v>
      </c>
      <c r="BA67" s="72">
        <f t="shared" si="94"/>
        <v>915.59999999999991</v>
      </c>
      <c r="BB67" s="135">
        <f>+(0)+(0)+(0)+(54)</f>
        <v>54</v>
      </c>
      <c r="BC67" s="135">
        <f>+(0)+(78)+(78)+(0)+(0)+(96)+(0)+(0)</f>
        <v>252</v>
      </c>
      <c r="BD67" s="50">
        <v>120</v>
      </c>
      <c r="BE67" s="50">
        <f t="shared" si="47"/>
        <v>1101.5999999999999</v>
      </c>
      <c r="BG67" s="139">
        <v>0</v>
      </c>
      <c r="BH67" s="207">
        <v>156</v>
      </c>
      <c r="BI67" s="139">
        <v>0</v>
      </c>
      <c r="BJ67" s="139">
        <v>0</v>
      </c>
      <c r="BK67" s="139">
        <v>0</v>
      </c>
      <c r="BL67" s="139">
        <v>0</v>
      </c>
      <c r="BM67" s="139">
        <v>0</v>
      </c>
      <c r="BN67" s="139">
        <v>0</v>
      </c>
      <c r="BO67" s="139">
        <v>0</v>
      </c>
      <c r="BP67" s="139">
        <v>0</v>
      </c>
      <c r="BQ67" s="139">
        <v>0</v>
      </c>
      <c r="BR67" s="139">
        <v>0</v>
      </c>
      <c r="BS67" s="206">
        <v>120</v>
      </c>
      <c r="BT67" s="205">
        <f t="shared" si="14"/>
        <v>1137.5999999999999</v>
      </c>
      <c r="BU67" s="153">
        <f t="shared" si="13"/>
        <v>1896</v>
      </c>
    </row>
    <row r="68" spans="1:73" ht="25.8" thickBot="1" x14ac:dyDescent="0.65">
      <c r="A68" s="53">
        <v>60</v>
      </c>
      <c r="B68" s="169" t="s">
        <v>331</v>
      </c>
      <c r="C68" s="170" t="s">
        <v>165</v>
      </c>
      <c r="D68" s="171">
        <v>44256</v>
      </c>
      <c r="E68" s="172">
        <v>4</v>
      </c>
      <c r="F68" s="172">
        <f t="shared" ref="F68" si="97">+E68*$C$1</f>
        <v>2133.3200000000002</v>
      </c>
      <c r="G68" s="172">
        <f t="shared" ref="G68" si="98">+BU68</f>
        <v>828</v>
      </c>
      <c r="H68" s="173">
        <f t="shared" ref="H68" si="99">+F68+G68</f>
        <v>2961.32</v>
      </c>
      <c r="I68" s="174">
        <v>12</v>
      </c>
      <c r="J68" s="81">
        <v>11</v>
      </c>
      <c r="K68" s="45" t="s">
        <v>451</v>
      </c>
      <c r="L68" s="175">
        <v>46722</v>
      </c>
      <c r="M68" s="167"/>
      <c r="N68" s="168" t="str">
        <f t="shared" ca="1" si="81"/>
        <v>O.K.</v>
      </c>
      <c r="Z68" s="3" t="s">
        <v>331</v>
      </c>
      <c r="AA68" s="34">
        <v>0</v>
      </c>
      <c r="AB68" s="34">
        <v>0</v>
      </c>
      <c r="AC68" s="35">
        <v>0</v>
      </c>
      <c r="AD68" s="35">
        <v>0</v>
      </c>
      <c r="AE68" s="35">
        <v>0</v>
      </c>
      <c r="AF68" s="24">
        <v>0</v>
      </c>
      <c r="AG68" s="21">
        <f t="shared" si="57"/>
        <v>0</v>
      </c>
      <c r="AH68" s="42">
        <v>0</v>
      </c>
      <c r="AI68" s="42">
        <v>0</v>
      </c>
      <c r="AJ68" s="35">
        <v>0</v>
      </c>
      <c r="AK68" s="17">
        <f t="shared" si="58"/>
        <v>0</v>
      </c>
      <c r="AL68" s="42">
        <f>+(0)+(0)+(0)+(0)+(0)+(0)</f>
        <v>0</v>
      </c>
      <c r="AM68" s="42">
        <f>+(78)+(0)+(0)+(0)+(0)+(0)</f>
        <v>78</v>
      </c>
      <c r="AN68" s="35">
        <v>78</v>
      </c>
      <c r="AO68" s="24">
        <f t="shared" si="59"/>
        <v>0</v>
      </c>
      <c r="AP68" s="42">
        <f t="shared" si="92"/>
        <v>0</v>
      </c>
      <c r="AQ68" s="42">
        <f>+(96)+(0)+(240)+(0)+(0)+(96)</f>
        <v>432</v>
      </c>
      <c r="AR68" s="68">
        <v>150</v>
      </c>
      <c r="AS68" s="71">
        <f t="shared" si="60"/>
        <v>282</v>
      </c>
      <c r="AT68" s="60">
        <f>+(0)+(0)+(0)+(186)+(54)+(0)</f>
        <v>240</v>
      </c>
      <c r="AU68" s="60">
        <f>+(0)+(96)+(0)+(0)+(0)+(0)</f>
        <v>96</v>
      </c>
      <c r="AV68" s="94">
        <v>150</v>
      </c>
      <c r="AW68" s="71">
        <f t="shared" si="61"/>
        <v>468</v>
      </c>
      <c r="AX68" s="60">
        <f t="shared" ref="AX68" si="100">+(0)+(0)+(0)+(0)</f>
        <v>0</v>
      </c>
      <c r="AY68" s="113">
        <f>+(120)+(0)+(0)+(0)+(0)+(0)+(0)+(186)</f>
        <v>306</v>
      </c>
      <c r="AZ68" s="71">
        <v>150</v>
      </c>
      <c r="BA68" s="71">
        <f t="shared" si="94"/>
        <v>624</v>
      </c>
      <c r="BB68" s="135">
        <f>+(0)+(0)+(0)+(96)</f>
        <v>96</v>
      </c>
      <c r="BC68" s="135">
        <f>+(0)+(30)+(96)+(0)+(0)+(0)+(0)+(31.2)</f>
        <v>157.19999999999999</v>
      </c>
      <c r="BD68" s="50">
        <v>150</v>
      </c>
      <c r="BE68" s="50">
        <f t="shared" si="47"/>
        <v>727.2</v>
      </c>
      <c r="BG68" s="139">
        <v>0</v>
      </c>
      <c r="BH68" s="139">
        <v>0</v>
      </c>
      <c r="BI68" s="139">
        <v>0</v>
      </c>
      <c r="BJ68" s="139">
        <v>0</v>
      </c>
      <c r="BK68" s="139">
        <v>0</v>
      </c>
      <c r="BL68" s="139">
        <v>0</v>
      </c>
      <c r="BM68" s="139">
        <v>0</v>
      </c>
      <c r="BN68" s="139">
        <v>0</v>
      </c>
      <c r="BO68" s="139">
        <v>0</v>
      </c>
      <c r="BP68" s="139">
        <v>0</v>
      </c>
      <c r="BQ68" s="139">
        <v>0</v>
      </c>
      <c r="BR68" s="139">
        <v>0</v>
      </c>
      <c r="BS68" s="206">
        <v>150</v>
      </c>
      <c r="BT68" s="205">
        <f t="shared" si="14"/>
        <v>577.20000000000005</v>
      </c>
      <c r="BU68" s="153">
        <f t="shared" si="13"/>
        <v>828</v>
      </c>
    </row>
    <row r="69" spans="1:73" ht="25.8" thickBot="1" x14ac:dyDescent="0.65">
      <c r="A69" s="53">
        <v>61</v>
      </c>
      <c r="B69" s="143" t="s">
        <v>179</v>
      </c>
      <c r="C69" s="144" t="s">
        <v>168</v>
      </c>
      <c r="D69" s="145">
        <v>42102</v>
      </c>
      <c r="E69" s="146">
        <v>5</v>
      </c>
      <c r="F69" s="146">
        <f t="shared" ref="F69:F76" si="101">+E69*$C$1</f>
        <v>2666.65</v>
      </c>
      <c r="G69" s="146">
        <f t="shared" ref="G69:G76" si="102">+BU69</f>
        <v>1296</v>
      </c>
      <c r="H69" s="147">
        <f t="shared" ref="H69:H76" si="103">+F69+G69</f>
        <v>3962.65</v>
      </c>
      <c r="I69" s="148">
        <v>10</v>
      </c>
      <c r="J69" s="81">
        <v>10</v>
      </c>
      <c r="L69" s="149">
        <v>46485</v>
      </c>
      <c r="M69" s="150"/>
      <c r="N69" s="151" t="str">
        <f t="shared" ca="1" si="81"/>
        <v>O.K.</v>
      </c>
      <c r="Z69" s="3" t="s">
        <v>179</v>
      </c>
      <c r="AA69" s="34">
        <v>0</v>
      </c>
      <c r="AB69" s="34">
        <v>120</v>
      </c>
      <c r="AC69" s="35">
        <v>96</v>
      </c>
      <c r="AD69" s="35">
        <v>120</v>
      </c>
      <c r="AE69" s="35">
        <v>120</v>
      </c>
      <c r="AF69" s="24">
        <v>156</v>
      </c>
      <c r="AG69" s="21">
        <f t="shared" si="57"/>
        <v>36</v>
      </c>
      <c r="AH69" s="42">
        <v>54</v>
      </c>
      <c r="AI69" s="42">
        <f>+(0)+(54)+(0)+(0)+(108.6)+(54)</f>
        <v>216.6</v>
      </c>
      <c r="AJ69" s="35">
        <v>120</v>
      </c>
      <c r="AK69" s="17">
        <f t="shared" si="58"/>
        <v>186.60000000000002</v>
      </c>
      <c r="AL69" s="42">
        <f>+(0)+(0)+(0)+(0)+(0)+(54.6)</f>
        <v>54.6</v>
      </c>
      <c r="AM69" s="42">
        <f>+(0)+(0)+(0)+(0)+(0)+(0)</f>
        <v>0</v>
      </c>
      <c r="AN69" s="35">
        <v>120</v>
      </c>
      <c r="AO69" s="24">
        <f t="shared" si="59"/>
        <v>121.20000000000002</v>
      </c>
      <c r="AP69" s="42">
        <f t="shared" si="92"/>
        <v>0</v>
      </c>
      <c r="AQ69" s="42">
        <f>+(108)+(0)+(75)+(0)+(0)+(0)</f>
        <v>183</v>
      </c>
      <c r="AR69" s="68">
        <v>120</v>
      </c>
      <c r="AS69" s="71">
        <f t="shared" si="60"/>
        <v>184.20000000000005</v>
      </c>
      <c r="AT69" s="60">
        <f>+(0)+(0)+(0)+(0)+(54)+(37.8)</f>
        <v>91.8</v>
      </c>
      <c r="AU69" s="60">
        <f t="shared" si="75"/>
        <v>0</v>
      </c>
      <c r="AV69" s="94">
        <v>120</v>
      </c>
      <c r="AW69" s="71">
        <f t="shared" si="61"/>
        <v>156.00000000000006</v>
      </c>
      <c r="AX69" s="60">
        <f>+(54)+(0)+(0)+(303.6)</f>
        <v>357.6</v>
      </c>
      <c r="AY69" s="113">
        <f>+(0)+(0)+(96)+(0)+(0)+(0)+(108)+(30)</f>
        <v>234</v>
      </c>
      <c r="AZ69" s="71">
        <v>120</v>
      </c>
      <c r="BA69" s="71">
        <f>(+AW69+AX69+AY69)-AZ69</f>
        <v>627.60000000000014</v>
      </c>
      <c r="BB69" s="135">
        <f>+(0)+(0)+(0)+(54)</f>
        <v>54</v>
      </c>
      <c r="BC69" s="135">
        <f>+(0)+(0)+(0)+(216)+(0)+(0)+(0)+(108)</f>
        <v>324</v>
      </c>
      <c r="BD69" s="50">
        <v>120</v>
      </c>
      <c r="BE69" s="50">
        <f t="shared" ref="BE69:BE98" si="104">(BA69+BB69+BC69)-BD69</f>
        <v>885.60000000000014</v>
      </c>
      <c r="BG69" s="139">
        <v>0</v>
      </c>
      <c r="BH69" s="139">
        <v>0</v>
      </c>
      <c r="BI69" s="139">
        <v>0</v>
      </c>
      <c r="BJ69" s="139">
        <v>0</v>
      </c>
      <c r="BK69" s="139">
        <v>0</v>
      </c>
      <c r="BL69" s="139">
        <v>0</v>
      </c>
      <c r="BM69" s="139">
        <v>0</v>
      </c>
      <c r="BN69" s="139">
        <v>0</v>
      </c>
      <c r="BO69" s="139">
        <v>0</v>
      </c>
      <c r="BP69" s="139">
        <v>0</v>
      </c>
      <c r="BQ69" s="139">
        <v>0</v>
      </c>
      <c r="BR69" s="139">
        <v>0</v>
      </c>
      <c r="BS69" s="206">
        <v>120</v>
      </c>
      <c r="BT69" s="205">
        <f t="shared" si="14"/>
        <v>765.60000000000014</v>
      </c>
      <c r="BU69" s="153">
        <f t="shared" si="13"/>
        <v>1296</v>
      </c>
    </row>
    <row r="70" spans="1:73" ht="25.8" thickBot="1" x14ac:dyDescent="0.65">
      <c r="A70" s="53">
        <v>62</v>
      </c>
      <c r="B70" s="99" t="s">
        <v>180</v>
      </c>
      <c r="C70" s="100" t="s">
        <v>168</v>
      </c>
      <c r="D70" s="108">
        <v>42370</v>
      </c>
      <c r="E70" s="101">
        <v>5</v>
      </c>
      <c r="F70" s="101">
        <f t="shared" si="101"/>
        <v>2666.65</v>
      </c>
      <c r="G70" s="101">
        <f t="shared" si="102"/>
        <v>1152</v>
      </c>
      <c r="H70" s="102">
        <f t="shared" si="103"/>
        <v>3818.65</v>
      </c>
      <c r="I70" s="103">
        <v>11</v>
      </c>
      <c r="J70" s="81">
        <v>11</v>
      </c>
      <c r="L70" s="96">
        <v>46280</v>
      </c>
      <c r="M70" s="97"/>
      <c r="N70" s="98" t="str">
        <f t="shared" ca="1" si="81"/>
        <v>O.K.</v>
      </c>
      <c r="Z70" s="3" t="s">
        <v>180</v>
      </c>
      <c r="AA70" s="34">
        <v>0</v>
      </c>
      <c r="AB70" s="34">
        <v>96</v>
      </c>
      <c r="AC70" s="35">
        <v>120</v>
      </c>
      <c r="AD70" s="35">
        <v>96</v>
      </c>
      <c r="AE70" s="35">
        <v>0</v>
      </c>
      <c r="AF70" s="24">
        <v>0</v>
      </c>
      <c r="AG70" s="21">
        <f t="shared" si="57"/>
        <v>0</v>
      </c>
      <c r="AH70" s="42">
        <v>90</v>
      </c>
      <c r="AI70" s="42">
        <f>+(0)+(0)+(193.8)+(0)+(54)+(54)</f>
        <v>301.8</v>
      </c>
      <c r="AJ70" s="35">
        <v>120</v>
      </c>
      <c r="AK70" s="17">
        <f t="shared" si="58"/>
        <v>271.8</v>
      </c>
      <c r="AL70" s="42">
        <f>+(0)+(0)+(0)+(0)+(0)+(0)</f>
        <v>0</v>
      </c>
      <c r="AM70" s="42">
        <f>+(0)+(0)+(0)+(0)+(0)+(0)</f>
        <v>0</v>
      </c>
      <c r="AN70" s="35">
        <v>120</v>
      </c>
      <c r="AO70" s="24">
        <f t="shared" si="59"/>
        <v>151.80000000000001</v>
      </c>
      <c r="AP70" s="42">
        <f t="shared" si="92"/>
        <v>0</v>
      </c>
      <c r="AQ70" s="42">
        <f>+(0)+(0)+(0)+(0)+(0)+(96)</f>
        <v>96</v>
      </c>
      <c r="AR70" s="68">
        <v>120</v>
      </c>
      <c r="AS70" s="71">
        <f t="shared" si="60"/>
        <v>127.80000000000001</v>
      </c>
      <c r="AT70" s="60">
        <f>+(0)+(0)+(0)+(0)+(54)+(0)</f>
        <v>54</v>
      </c>
      <c r="AU70" s="60">
        <f t="shared" si="75"/>
        <v>0</v>
      </c>
      <c r="AV70" s="94">
        <v>120</v>
      </c>
      <c r="AW70" s="71">
        <f t="shared" si="61"/>
        <v>61.800000000000011</v>
      </c>
      <c r="AX70" s="60">
        <f>+(0)+(0)+(120)+(216)</f>
        <v>336</v>
      </c>
      <c r="AY70" s="113">
        <f>+(0)+(0)+(0)+(0)+(0)+(0)+(0)+(327.6)</f>
        <v>327.60000000000002</v>
      </c>
      <c r="AZ70" s="71">
        <v>120</v>
      </c>
      <c r="BA70" s="71">
        <f t="shared" ref="BA70:BA91" si="105">(+AW70+AX70+AY70)-AZ70</f>
        <v>605.40000000000009</v>
      </c>
      <c r="BB70" s="135">
        <f t="shared" ref="BB70:BB404" si="106">+(0)+(0)+(0)+(0)</f>
        <v>0</v>
      </c>
      <c r="BC70" s="135">
        <f>+(0)+(0)+(0)+(0)+(0)+(0)+(0)+(54.6)</f>
        <v>54.6</v>
      </c>
      <c r="BD70" s="50">
        <v>120</v>
      </c>
      <c r="BE70" s="50">
        <f t="shared" si="104"/>
        <v>540.00000000000011</v>
      </c>
      <c r="BG70" s="139">
        <v>0</v>
      </c>
      <c r="BH70" s="139">
        <v>0</v>
      </c>
      <c r="BI70" s="139">
        <v>0</v>
      </c>
      <c r="BJ70" s="139">
        <v>0</v>
      </c>
      <c r="BK70" s="139">
        <v>0</v>
      </c>
      <c r="BL70" s="139">
        <v>0</v>
      </c>
      <c r="BM70" s="139">
        <v>0</v>
      </c>
      <c r="BN70" s="139">
        <v>0</v>
      </c>
      <c r="BO70" s="139">
        <v>0</v>
      </c>
      <c r="BP70" s="139">
        <v>0</v>
      </c>
      <c r="BQ70" s="139">
        <v>0</v>
      </c>
      <c r="BR70" s="139">
        <v>0</v>
      </c>
      <c r="BS70" s="206">
        <v>120</v>
      </c>
      <c r="BT70" s="205">
        <f t="shared" si="14"/>
        <v>420.00000000000011</v>
      </c>
      <c r="BU70" s="153">
        <f t="shared" ref="BU70:BU129" si="107">SUM(AA70:AD70)+AE70+AJ70+AN70+AR70+AV70+AZ70+BD70+BS70</f>
        <v>1152</v>
      </c>
    </row>
    <row r="71" spans="1:73" ht="25.8" thickBot="1" x14ac:dyDescent="0.65">
      <c r="A71" s="53">
        <v>63</v>
      </c>
      <c r="B71" s="99" t="s">
        <v>457</v>
      </c>
      <c r="C71" s="100" t="s">
        <v>354</v>
      </c>
      <c r="D71" s="108">
        <v>45485</v>
      </c>
      <c r="E71" s="101">
        <v>0</v>
      </c>
      <c r="F71" s="101">
        <f t="shared" ref="F71" si="108">+E71*$C$1</f>
        <v>0</v>
      </c>
      <c r="G71" s="101">
        <f t="shared" ref="G71" si="109">+BU71</f>
        <v>240</v>
      </c>
      <c r="H71" s="102">
        <f t="shared" ref="H71" si="110">+F71+G71</f>
        <v>240</v>
      </c>
      <c r="I71" s="103">
        <v>15</v>
      </c>
      <c r="J71" s="81">
        <v>15</v>
      </c>
      <c r="L71" s="96">
        <v>46038</v>
      </c>
      <c r="M71" s="97"/>
      <c r="N71" s="98" t="str">
        <f t="shared" ref="N71" ca="1" si="111">IF($B$2&lt;L71,"O.K.","A L E R T A ")</f>
        <v>O.K.</v>
      </c>
      <c r="Z71" s="3" t="s">
        <v>457</v>
      </c>
      <c r="AA71" s="34"/>
      <c r="AB71" s="34"/>
      <c r="AC71" s="35"/>
      <c r="AD71" s="35"/>
      <c r="AE71" s="35"/>
      <c r="AF71" s="24"/>
      <c r="AG71" s="21"/>
      <c r="AH71" s="42"/>
      <c r="AI71" s="42"/>
      <c r="AJ71" s="35"/>
      <c r="AK71" s="17"/>
      <c r="AL71" s="42"/>
      <c r="AM71" s="42"/>
      <c r="AN71" s="35"/>
      <c r="AO71" s="24"/>
      <c r="AP71" s="42"/>
      <c r="AQ71" s="42"/>
      <c r="AR71" s="68"/>
      <c r="AS71" s="71"/>
      <c r="AT71" s="60"/>
      <c r="AU71" s="60"/>
      <c r="AV71" s="94"/>
      <c r="AW71" s="71"/>
      <c r="AX71" s="60"/>
      <c r="AY71" s="113"/>
      <c r="AZ71" s="72"/>
      <c r="BA71" s="72"/>
      <c r="BB71" s="135">
        <f>+(0)+(0)+(0)+(21.6)</f>
        <v>21.6</v>
      </c>
      <c r="BC71" s="135">
        <f>+(0)+(0)+(78)+(0)+(0)+(78)+(67.2)+(0)</f>
        <v>223.2</v>
      </c>
      <c r="BD71" s="50">
        <v>120</v>
      </c>
      <c r="BE71" s="50">
        <f t="shared" si="104"/>
        <v>124.79999999999998</v>
      </c>
      <c r="BG71" s="139">
        <v>0</v>
      </c>
      <c r="BH71" s="139">
        <v>0</v>
      </c>
      <c r="BI71" s="139">
        <v>0</v>
      </c>
      <c r="BJ71" s="139">
        <v>0</v>
      </c>
      <c r="BK71" s="139">
        <v>0</v>
      </c>
      <c r="BL71" s="139">
        <v>0</v>
      </c>
      <c r="BM71" s="139">
        <v>0</v>
      </c>
      <c r="BN71" s="139">
        <v>0</v>
      </c>
      <c r="BO71" s="139">
        <v>0</v>
      </c>
      <c r="BP71" s="139">
        <v>0</v>
      </c>
      <c r="BQ71" s="139">
        <v>0</v>
      </c>
      <c r="BR71" s="139">
        <v>0</v>
      </c>
      <c r="BS71" s="206">
        <v>120</v>
      </c>
      <c r="BT71" s="205">
        <f t="shared" ref="BT71:BT130" si="112">+BE71+SUM(BG71:BJ71)+SUM(BK71:BR71)-BS71</f>
        <v>4.7999999999999829</v>
      </c>
      <c r="BU71" s="153">
        <f t="shared" si="107"/>
        <v>240</v>
      </c>
    </row>
    <row r="72" spans="1:73" ht="25.8" thickBot="1" x14ac:dyDescent="0.65">
      <c r="A72" s="53">
        <v>64</v>
      </c>
      <c r="B72" s="169" t="s">
        <v>428</v>
      </c>
      <c r="C72" s="170" t="s">
        <v>164</v>
      </c>
      <c r="D72" s="171">
        <v>45324</v>
      </c>
      <c r="E72" s="172">
        <v>0</v>
      </c>
      <c r="F72" s="172">
        <f t="shared" si="101"/>
        <v>0</v>
      </c>
      <c r="G72" s="172">
        <f t="shared" ref="G72" si="113">+BU72</f>
        <v>0</v>
      </c>
      <c r="H72" s="173">
        <f t="shared" ref="H72" si="114">+F72+G72</f>
        <v>0</v>
      </c>
      <c r="I72" s="174">
        <v>15</v>
      </c>
      <c r="J72" s="81">
        <v>15</v>
      </c>
      <c r="L72" s="124" t="s">
        <v>441</v>
      </c>
      <c r="M72" s="167"/>
      <c r="N72" s="168"/>
      <c r="Z72" s="3" t="s">
        <v>428</v>
      </c>
      <c r="AA72" s="34">
        <v>0</v>
      </c>
      <c r="AB72" s="34">
        <v>0</v>
      </c>
      <c r="AC72" s="35">
        <v>0</v>
      </c>
      <c r="AD72" s="35">
        <v>0</v>
      </c>
      <c r="AE72" s="35">
        <v>0</v>
      </c>
      <c r="AF72" s="24">
        <v>0</v>
      </c>
      <c r="AG72" s="21">
        <f t="shared" si="57"/>
        <v>0</v>
      </c>
      <c r="AH72" s="42">
        <v>0</v>
      </c>
      <c r="AI72" s="42">
        <v>0</v>
      </c>
      <c r="AJ72" s="35">
        <v>0</v>
      </c>
      <c r="AK72" s="17">
        <f t="shared" si="58"/>
        <v>0</v>
      </c>
      <c r="AL72" s="42">
        <v>0</v>
      </c>
      <c r="AM72" s="42">
        <v>0</v>
      </c>
      <c r="AN72" s="35">
        <v>0</v>
      </c>
      <c r="AO72" s="24">
        <f t="shared" si="59"/>
        <v>0</v>
      </c>
      <c r="AP72" s="42">
        <v>0</v>
      </c>
      <c r="AQ72" s="42">
        <v>0</v>
      </c>
      <c r="AR72" s="68">
        <v>0</v>
      </c>
      <c r="AS72" s="71">
        <f t="shared" si="60"/>
        <v>0</v>
      </c>
      <c r="AT72" s="60">
        <v>0</v>
      </c>
      <c r="AU72" s="60">
        <v>0</v>
      </c>
      <c r="AV72" s="94">
        <v>0</v>
      </c>
      <c r="AW72" s="71">
        <f t="shared" si="61"/>
        <v>0</v>
      </c>
      <c r="AX72" s="60">
        <f t="shared" ref="AX72:AX387" si="115">+(0)+(0)+(0)+(0)</f>
        <v>0</v>
      </c>
      <c r="AY72" s="113">
        <f t="shared" si="16"/>
        <v>0</v>
      </c>
      <c r="AZ72" s="72">
        <v>0</v>
      </c>
      <c r="BA72" s="72">
        <f t="shared" si="105"/>
        <v>0</v>
      </c>
      <c r="BB72" s="135">
        <f t="shared" si="106"/>
        <v>0</v>
      </c>
      <c r="BC72" s="135">
        <f t="shared" ref="BC72:BC404" si="116">+(0)+(0)+(0)+(0)+(0)+(0)+(0)+(0)</f>
        <v>0</v>
      </c>
      <c r="BD72" s="50">
        <v>0</v>
      </c>
      <c r="BE72" s="50">
        <f t="shared" si="104"/>
        <v>0</v>
      </c>
      <c r="BG72" s="139">
        <v>0</v>
      </c>
      <c r="BH72" s="139">
        <v>0</v>
      </c>
      <c r="BI72" s="139">
        <v>0</v>
      </c>
      <c r="BJ72" s="139">
        <v>0</v>
      </c>
      <c r="BK72" s="139">
        <v>0</v>
      </c>
      <c r="BL72" s="139">
        <v>0</v>
      </c>
      <c r="BM72" s="139">
        <v>0</v>
      </c>
      <c r="BN72" s="139">
        <v>0</v>
      </c>
      <c r="BO72" s="139">
        <v>0</v>
      </c>
      <c r="BP72" s="139">
        <v>0</v>
      </c>
      <c r="BQ72" s="139">
        <v>0</v>
      </c>
      <c r="BR72" s="139">
        <v>0</v>
      </c>
      <c r="BS72" s="206">
        <v>0</v>
      </c>
      <c r="BT72" s="205">
        <f t="shared" si="112"/>
        <v>0</v>
      </c>
      <c r="BU72" s="153">
        <f t="shared" si="107"/>
        <v>0</v>
      </c>
    </row>
    <row r="73" spans="1:73" ht="25.8" thickBot="1" x14ac:dyDescent="0.65">
      <c r="A73" s="53">
        <v>65</v>
      </c>
      <c r="B73" s="143" t="s">
        <v>412</v>
      </c>
      <c r="C73" s="144" t="s">
        <v>168</v>
      </c>
      <c r="D73" s="145">
        <v>45061</v>
      </c>
      <c r="E73" s="146">
        <v>1</v>
      </c>
      <c r="F73" s="146">
        <f t="shared" si="101"/>
        <v>533.33000000000004</v>
      </c>
      <c r="G73" s="146">
        <f t="shared" si="102"/>
        <v>480</v>
      </c>
      <c r="H73" s="147">
        <f t="shared" si="103"/>
        <v>1013.33</v>
      </c>
      <c r="I73" s="148">
        <v>14</v>
      </c>
      <c r="J73" s="81">
        <v>14</v>
      </c>
      <c r="L73" s="149">
        <v>46522</v>
      </c>
      <c r="M73" s="150"/>
      <c r="N73" s="151" t="str">
        <f t="shared" ca="1" si="81"/>
        <v>O.K.</v>
      </c>
      <c r="Z73" s="3" t="s">
        <v>412</v>
      </c>
      <c r="AA73" s="34">
        <v>0</v>
      </c>
      <c r="AB73" s="34">
        <v>0</v>
      </c>
      <c r="AC73" s="35">
        <v>0</v>
      </c>
      <c r="AD73" s="35">
        <v>0</v>
      </c>
      <c r="AE73" s="35">
        <v>0</v>
      </c>
      <c r="AF73" s="24">
        <v>0</v>
      </c>
      <c r="AG73" s="21">
        <f t="shared" si="57"/>
        <v>0</v>
      </c>
      <c r="AH73" s="42">
        <v>0</v>
      </c>
      <c r="AI73" s="42">
        <v>0</v>
      </c>
      <c r="AJ73" s="35">
        <v>0</v>
      </c>
      <c r="AK73" s="17">
        <f t="shared" si="58"/>
        <v>0</v>
      </c>
      <c r="AL73" s="42">
        <v>0</v>
      </c>
      <c r="AM73" s="42">
        <v>0</v>
      </c>
      <c r="AN73" s="35">
        <v>0</v>
      </c>
      <c r="AO73" s="24">
        <f t="shared" si="59"/>
        <v>0</v>
      </c>
      <c r="AP73" s="42">
        <v>0</v>
      </c>
      <c r="AQ73" s="42">
        <v>0</v>
      </c>
      <c r="AR73" s="68">
        <v>0</v>
      </c>
      <c r="AS73" s="71">
        <f t="shared" si="60"/>
        <v>0</v>
      </c>
      <c r="AT73" s="60">
        <f t="shared" si="75"/>
        <v>0</v>
      </c>
      <c r="AU73" s="60">
        <f>+(0)+(291.6)+(0)+(0)+(0)+(0)</f>
        <v>291.60000000000002</v>
      </c>
      <c r="AV73" s="94">
        <v>120</v>
      </c>
      <c r="AW73" s="71">
        <f t="shared" si="61"/>
        <v>171.60000000000002</v>
      </c>
      <c r="AX73" s="60">
        <f>+(0)+(0)+(324)+(78)</f>
        <v>402</v>
      </c>
      <c r="AY73" s="113">
        <f>+(0)+(0)+(96)+(0)+(0)+(0)+(186)+(108)</f>
        <v>390</v>
      </c>
      <c r="AZ73" s="71">
        <v>120</v>
      </c>
      <c r="BA73" s="71">
        <f t="shared" si="105"/>
        <v>843.6</v>
      </c>
      <c r="BB73" s="135">
        <f>+(0)+(0)+(0)+(54)</f>
        <v>54</v>
      </c>
      <c r="BC73" s="135">
        <f t="shared" si="116"/>
        <v>0</v>
      </c>
      <c r="BD73" s="50">
        <v>120</v>
      </c>
      <c r="BE73" s="50">
        <f t="shared" si="104"/>
        <v>777.6</v>
      </c>
      <c r="BG73" s="139">
        <v>0</v>
      </c>
      <c r="BH73" s="139">
        <v>0</v>
      </c>
      <c r="BI73" s="139">
        <v>0</v>
      </c>
      <c r="BJ73" s="139">
        <v>0</v>
      </c>
      <c r="BK73" s="139">
        <v>0</v>
      </c>
      <c r="BL73" s="139">
        <v>0</v>
      </c>
      <c r="BM73" s="139">
        <v>0</v>
      </c>
      <c r="BN73" s="139">
        <v>0</v>
      </c>
      <c r="BO73" s="139">
        <v>0</v>
      </c>
      <c r="BP73" s="139">
        <v>0</v>
      </c>
      <c r="BQ73" s="139">
        <v>0</v>
      </c>
      <c r="BR73" s="139">
        <v>0</v>
      </c>
      <c r="BS73" s="206">
        <v>120</v>
      </c>
      <c r="BT73" s="205">
        <f t="shared" si="112"/>
        <v>657.6</v>
      </c>
      <c r="BU73" s="153">
        <f t="shared" si="107"/>
        <v>480</v>
      </c>
    </row>
    <row r="74" spans="1:73" ht="25.8" thickBot="1" x14ac:dyDescent="0.65">
      <c r="A74" s="53">
        <v>66</v>
      </c>
      <c r="B74" s="169" t="s">
        <v>493</v>
      </c>
      <c r="C74" s="170" t="s">
        <v>165</v>
      </c>
      <c r="D74" s="171">
        <v>45755</v>
      </c>
      <c r="E74" s="172">
        <v>0</v>
      </c>
      <c r="F74" s="172">
        <f t="shared" ref="F74" si="117">+E74*$C$1</f>
        <v>0</v>
      </c>
      <c r="G74" s="172">
        <f t="shared" si="102"/>
        <v>0</v>
      </c>
      <c r="H74" s="173">
        <f t="shared" si="103"/>
        <v>0</v>
      </c>
      <c r="I74" s="174">
        <v>15</v>
      </c>
      <c r="J74" s="81">
        <v>15</v>
      </c>
      <c r="L74" s="124" t="s">
        <v>441</v>
      </c>
      <c r="M74" s="167"/>
      <c r="N74" s="168"/>
      <c r="Z74" s="3" t="s">
        <v>493</v>
      </c>
      <c r="AA74" s="34"/>
      <c r="AB74" s="34"/>
      <c r="AC74" s="35"/>
      <c r="AD74" s="35"/>
      <c r="AE74" s="35"/>
      <c r="AF74" s="24"/>
      <c r="AG74" s="21"/>
      <c r="AH74" s="42"/>
      <c r="AI74" s="42"/>
      <c r="AJ74" s="35"/>
      <c r="AK74" s="17"/>
      <c r="AL74" s="42"/>
      <c r="AM74" s="42"/>
      <c r="AN74" s="35"/>
      <c r="AO74" s="24"/>
      <c r="AP74" s="42"/>
      <c r="AQ74" s="42"/>
      <c r="AR74" s="68"/>
      <c r="AS74" s="71"/>
      <c r="AT74" s="60"/>
      <c r="AU74" s="60"/>
      <c r="AV74" s="94"/>
      <c r="AW74" s="71"/>
      <c r="AX74" s="60"/>
      <c r="AY74" s="113"/>
      <c r="AZ74" s="71"/>
      <c r="BA74" s="71"/>
      <c r="BB74" s="135">
        <f t="shared" si="106"/>
        <v>0</v>
      </c>
      <c r="BC74" s="135">
        <f t="shared" si="116"/>
        <v>0</v>
      </c>
      <c r="BD74" s="50">
        <v>0</v>
      </c>
      <c r="BE74" s="50">
        <f t="shared" ref="BE74" si="118">(BA74+BB74+BC74)-BD74</f>
        <v>0</v>
      </c>
      <c r="BG74" s="139">
        <v>0</v>
      </c>
      <c r="BH74" s="139">
        <v>0</v>
      </c>
      <c r="BI74" s="139">
        <v>0</v>
      </c>
      <c r="BJ74" s="139">
        <v>0</v>
      </c>
      <c r="BK74" s="139">
        <v>0</v>
      </c>
      <c r="BL74" s="139">
        <v>0</v>
      </c>
      <c r="BM74" s="139">
        <v>0</v>
      </c>
      <c r="BN74" s="139">
        <v>0</v>
      </c>
      <c r="BO74" s="139">
        <v>0</v>
      </c>
      <c r="BP74" s="139">
        <v>0</v>
      </c>
      <c r="BQ74" s="139">
        <v>0</v>
      </c>
      <c r="BR74" s="139">
        <v>0</v>
      </c>
      <c r="BS74" s="206">
        <v>0</v>
      </c>
      <c r="BT74" s="205">
        <f t="shared" si="112"/>
        <v>0</v>
      </c>
      <c r="BU74" s="153">
        <f t="shared" si="107"/>
        <v>0</v>
      </c>
    </row>
    <row r="75" spans="1:73" ht="25.8" thickBot="1" x14ac:dyDescent="0.65">
      <c r="A75" s="53">
        <v>67</v>
      </c>
      <c r="B75" s="99" t="s">
        <v>267</v>
      </c>
      <c r="C75" s="100" t="s">
        <v>166</v>
      </c>
      <c r="D75" s="108">
        <v>43187</v>
      </c>
      <c r="E75" s="101">
        <v>3</v>
      </c>
      <c r="F75" s="101">
        <f t="shared" si="101"/>
        <v>1599.9900000000002</v>
      </c>
      <c r="G75" s="101">
        <f t="shared" si="102"/>
        <v>1170</v>
      </c>
      <c r="H75" s="102">
        <f t="shared" si="103"/>
        <v>2769.9900000000002</v>
      </c>
      <c r="I75" s="103">
        <v>12</v>
      </c>
      <c r="J75" s="81">
        <v>12</v>
      </c>
      <c r="L75" s="96">
        <v>46109</v>
      </c>
      <c r="M75" s="97"/>
      <c r="N75" s="98" t="str">
        <f t="shared" ca="1" si="81"/>
        <v>O.K.</v>
      </c>
      <c r="Z75" s="3" t="s">
        <v>267</v>
      </c>
      <c r="AA75" s="34">
        <v>0</v>
      </c>
      <c r="AB75" s="34">
        <v>0</v>
      </c>
      <c r="AC75" s="35">
        <v>0</v>
      </c>
      <c r="AD75" s="35">
        <v>0</v>
      </c>
      <c r="AE75" s="35">
        <v>120</v>
      </c>
      <c r="AF75" s="24">
        <v>120</v>
      </c>
      <c r="AG75" s="21">
        <f t="shared" si="57"/>
        <v>0</v>
      </c>
      <c r="AH75" s="42">
        <v>0</v>
      </c>
      <c r="AI75" s="42">
        <f>+(0)+(0)+(0)+(0)+(54)+(162)</f>
        <v>216</v>
      </c>
      <c r="AJ75" s="35">
        <v>150</v>
      </c>
      <c r="AK75" s="17">
        <f t="shared" si="58"/>
        <v>66</v>
      </c>
      <c r="AL75" s="42">
        <f>+(0)+(0)+(0)+(0)+(0)+(156)</f>
        <v>156</v>
      </c>
      <c r="AM75" s="42">
        <f>+(0)+(78)+(0)+(0)+(0)+(0)</f>
        <v>78</v>
      </c>
      <c r="AN75" s="35">
        <v>150</v>
      </c>
      <c r="AO75" s="24">
        <f t="shared" si="59"/>
        <v>150</v>
      </c>
      <c r="AP75" s="42">
        <f>+(0)+(0)+(108)+(0)+(0)+(0)</f>
        <v>108</v>
      </c>
      <c r="AQ75" s="42">
        <f>+(132)+(0)+(0)+(0)+(0)+(0)</f>
        <v>132</v>
      </c>
      <c r="AR75" s="68">
        <v>150</v>
      </c>
      <c r="AS75" s="71">
        <f t="shared" si="60"/>
        <v>240</v>
      </c>
      <c r="AT75" s="60">
        <f>+(96)+(0)+(0)+(0)+(54)+(0)</f>
        <v>150</v>
      </c>
      <c r="AU75" s="60">
        <f>+(0)+(108)+(0)+(0)+(0)+(0)</f>
        <v>108</v>
      </c>
      <c r="AV75" s="94">
        <v>150</v>
      </c>
      <c r="AW75" s="71">
        <f t="shared" si="61"/>
        <v>348</v>
      </c>
      <c r="AX75" s="60">
        <f t="shared" si="115"/>
        <v>0</v>
      </c>
      <c r="AY75" s="113">
        <f>+(0)+(0)+(96)+(0)+(0)+(0)+(0)+(0)</f>
        <v>96</v>
      </c>
      <c r="AZ75" s="72">
        <v>150</v>
      </c>
      <c r="BA75" s="72">
        <f t="shared" si="105"/>
        <v>294</v>
      </c>
      <c r="BB75" s="135">
        <f t="shared" si="106"/>
        <v>0</v>
      </c>
      <c r="BC75" s="135">
        <f>+(0)+(138)+(0)+(0)+(54)+(0)+(0)+(0)</f>
        <v>192</v>
      </c>
      <c r="BD75" s="50">
        <v>150</v>
      </c>
      <c r="BE75" s="50">
        <f t="shared" si="104"/>
        <v>336</v>
      </c>
      <c r="BG75" s="139">
        <v>0</v>
      </c>
      <c r="BH75" s="207">
        <v>54</v>
      </c>
      <c r="BI75" s="139">
        <v>0</v>
      </c>
      <c r="BJ75" s="139">
        <v>0</v>
      </c>
      <c r="BK75" s="139">
        <v>0</v>
      </c>
      <c r="BL75" s="139">
        <v>0</v>
      </c>
      <c r="BM75" s="139">
        <v>0</v>
      </c>
      <c r="BN75" s="139">
        <v>0</v>
      </c>
      <c r="BO75" s="139">
        <v>0</v>
      </c>
      <c r="BP75" s="139">
        <v>0</v>
      </c>
      <c r="BQ75" s="139">
        <v>0</v>
      </c>
      <c r="BR75" s="139">
        <v>0</v>
      </c>
      <c r="BS75" s="206">
        <v>150</v>
      </c>
      <c r="BT75" s="205">
        <f t="shared" si="112"/>
        <v>240</v>
      </c>
      <c r="BU75" s="153">
        <f t="shared" si="107"/>
        <v>1170</v>
      </c>
    </row>
    <row r="76" spans="1:73" ht="25.8" thickBot="1" x14ac:dyDescent="0.65">
      <c r="A76" s="53">
        <v>68</v>
      </c>
      <c r="B76" s="99" t="s">
        <v>33</v>
      </c>
      <c r="C76" s="100" t="s">
        <v>168</v>
      </c>
      <c r="D76" s="99" t="s">
        <v>117</v>
      </c>
      <c r="E76" s="101">
        <v>13</v>
      </c>
      <c r="F76" s="101">
        <f t="shared" si="101"/>
        <v>6933.2900000000009</v>
      </c>
      <c r="G76" s="101">
        <f t="shared" si="102"/>
        <v>2433.6</v>
      </c>
      <c r="H76" s="102">
        <f t="shared" si="103"/>
        <v>9366.8900000000012</v>
      </c>
      <c r="I76" s="103">
        <v>3</v>
      </c>
      <c r="J76" s="81">
        <v>3</v>
      </c>
      <c r="L76" s="96">
        <v>46235</v>
      </c>
      <c r="M76" s="97"/>
      <c r="N76" s="98" t="str">
        <f t="shared" ca="1" si="81"/>
        <v>O.K.</v>
      </c>
      <c r="Z76" s="3" t="s">
        <v>33</v>
      </c>
      <c r="AA76" s="34">
        <v>1200</v>
      </c>
      <c r="AB76" s="34">
        <v>120</v>
      </c>
      <c r="AC76" s="35">
        <v>96</v>
      </c>
      <c r="AD76" s="35">
        <v>108</v>
      </c>
      <c r="AE76" s="35">
        <v>120</v>
      </c>
      <c r="AF76" s="24">
        <v>162</v>
      </c>
      <c r="AG76" s="21">
        <f t="shared" si="57"/>
        <v>42</v>
      </c>
      <c r="AH76" s="42">
        <v>0</v>
      </c>
      <c r="AI76" s="42">
        <f>+(0)+(0)+(0)+(0)+(108)+(54)</f>
        <v>162</v>
      </c>
      <c r="AJ76" s="35">
        <v>120</v>
      </c>
      <c r="AK76" s="17">
        <f t="shared" si="58"/>
        <v>84</v>
      </c>
      <c r="AL76" s="42">
        <f>+(0)+(0)+(0)+(0)+(0)+(0)</f>
        <v>0</v>
      </c>
      <c r="AM76" s="42">
        <f>+(0)+(75.6)+(0)+(0)+(0)+(0)</f>
        <v>75.599999999999994</v>
      </c>
      <c r="AN76" s="35">
        <v>120</v>
      </c>
      <c r="AO76" s="24">
        <f t="shared" si="59"/>
        <v>39.599999999999994</v>
      </c>
      <c r="AP76" s="42">
        <f>+(0)+(0)+(0)+(0)+(0)+(0)</f>
        <v>0</v>
      </c>
      <c r="AQ76" s="42">
        <f>+(0)+(0)+(96)+(0)+(0)+(0)</f>
        <v>96</v>
      </c>
      <c r="AR76" s="68">
        <v>120</v>
      </c>
      <c r="AS76" s="71">
        <f t="shared" si="60"/>
        <v>15.599999999999994</v>
      </c>
      <c r="AT76" s="60">
        <f>+(0)+(0)+(0)+(0)+(54)+(0)</f>
        <v>54</v>
      </c>
      <c r="AU76" s="60">
        <f t="shared" si="75"/>
        <v>0</v>
      </c>
      <c r="AV76" s="94">
        <v>69.599999999999994</v>
      </c>
      <c r="AW76" s="71">
        <f t="shared" si="61"/>
        <v>0</v>
      </c>
      <c r="AX76" s="60">
        <f>+(0)+(0)+(108)+(0)</f>
        <v>108</v>
      </c>
      <c r="AY76" s="113">
        <f>+(0)+(0)+(0)+(78)+(108)+(0)+(0)+(0)</f>
        <v>186</v>
      </c>
      <c r="AZ76" s="72">
        <v>120</v>
      </c>
      <c r="BA76" s="72">
        <f t="shared" si="105"/>
        <v>174</v>
      </c>
      <c r="BB76" s="135">
        <f t="shared" si="106"/>
        <v>0</v>
      </c>
      <c r="BC76" s="135">
        <f>+(0)+(0)+(0)+(0)+(109.2)+(0)+(0)+(0)</f>
        <v>109.2</v>
      </c>
      <c r="BD76" s="50">
        <v>120</v>
      </c>
      <c r="BE76" s="50">
        <f t="shared" si="104"/>
        <v>163.19999999999999</v>
      </c>
      <c r="BG76" s="207">
        <v>84</v>
      </c>
      <c r="BH76" s="139">
        <v>0</v>
      </c>
      <c r="BI76" s="139">
        <v>0</v>
      </c>
      <c r="BJ76" s="139">
        <v>0</v>
      </c>
      <c r="BK76" s="139">
        <v>0</v>
      </c>
      <c r="BL76" s="139">
        <v>0</v>
      </c>
      <c r="BM76" s="139">
        <v>0</v>
      </c>
      <c r="BN76" s="139">
        <v>0</v>
      </c>
      <c r="BO76" s="139">
        <v>0</v>
      </c>
      <c r="BP76" s="139">
        <v>0</v>
      </c>
      <c r="BQ76" s="139">
        <v>0</v>
      </c>
      <c r="BR76" s="139">
        <v>0</v>
      </c>
      <c r="BS76" s="206">
        <v>120</v>
      </c>
      <c r="BT76" s="205">
        <f t="shared" si="112"/>
        <v>127.19999999999999</v>
      </c>
      <c r="BU76" s="153">
        <f t="shared" si="107"/>
        <v>2433.6</v>
      </c>
    </row>
    <row r="77" spans="1:73" ht="25.8" thickBot="1" x14ac:dyDescent="0.65">
      <c r="A77" s="53">
        <v>69</v>
      </c>
      <c r="B77" s="99" t="s">
        <v>257</v>
      </c>
      <c r="C77" s="100" t="s">
        <v>168</v>
      </c>
      <c r="D77" s="108">
        <v>43430</v>
      </c>
      <c r="E77" s="101">
        <v>3</v>
      </c>
      <c r="F77" s="101">
        <f t="shared" ref="F77:F79" si="119">+E77*$C$1</f>
        <v>1599.9900000000002</v>
      </c>
      <c r="G77" s="101">
        <f t="shared" ref="G77:G78" si="120">+BU77</f>
        <v>960</v>
      </c>
      <c r="H77" s="102">
        <f t="shared" ref="H77:H78" si="121">+F77+G77</f>
        <v>2559.9900000000002</v>
      </c>
      <c r="I77" s="103">
        <v>12</v>
      </c>
      <c r="J77" s="81">
        <v>12</v>
      </c>
      <c r="L77" s="96">
        <v>46352</v>
      </c>
      <c r="M77" s="97"/>
      <c r="N77" s="98" t="str">
        <f t="shared" ca="1" si="81"/>
        <v>O.K.</v>
      </c>
      <c r="Z77" s="3" t="s">
        <v>257</v>
      </c>
      <c r="AA77" s="34">
        <v>0</v>
      </c>
      <c r="AB77" s="34">
        <v>0</v>
      </c>
      <c r="AC77" s="35">
        <v>0</v>
      </c>
      <c r="AD77" s="35">
        <v>0</v>
      </c>
      <c r="AE77" s="35">
        <v>120</v>
      </c>
      <c r="AF77" s="24">
        <v>234</v>
      </c>
      <c r="AG77" s="21">
        <f t="shared" si="57"/>
        <v>114</v>
      </c>
      <c r="AH77" s="42">
        <f>21+54.6</f>
        <v>75.599999999999994</v>
      </c>
      <c r="AI77" s="42">
        <f>+(37.8)+(0)+(0)+(0)+(0)+(54)</f>
        <v>91.8</v>
      </c>
      <c r="AJ77" s="35">
        <v>120</v>
      </c>
      <c r="AK77" s="17">
        <f t="shared" si="58"/>
        <v>161.39999999999998</v>
      </c>
      <c r="AL77" s="42">
        <f>+(0)+(0)+(0)+(0)+(0)+(0)</f>
        <v>0</v>
      </c>
      <c r="AM77" s="42">
        <f>+(0)+(156)+(0)+(0)+(0)+(0)</f>
        <v>156</v>
      </c>
      <c r="AN77" s="35">
        <v>120</v>
      </c>
      <c r="AO77" s="24">
        <f t="shared" si="59"/>
        <v>197.39999999999998</v>
      </c>
      <c r="AP77" s="42">
        <f>+(0)+(0)+(0)+(0)+(0)+(0)</f>
        <v>0</v>
      </c>
      <c r="AQ77" s="42">
        <f>+(180)+(54)+(75.6)+(0)+(0)+(0)</f>
        <v>309.60000000000002</v>
      </c>
      <c r="AR77" s="68">
        <v>120</v>
      </c>
      <c r="AS77" s="71">
        <f t="shared" si="60"/>
        <v>387</v>
      </c>
      <c r="AT77" s="60">
        <f t="shared" si="75"/>
        <v>0</v>
      </c>
      <c r="AU77" s="60">
        <f>+(0)+(174)+(0)+(0)+(0)+(0)</f>
        <v>174</v>
      </c>
      <c r="AV77" s="94">
        <v>120</v>
      </c>
      <c r="AW77" s="71">
        <f t="shared" si="61"/>
        <v>441</v>
      </c>
      <c r="AX77" s="60">
        <f>+(0)+(0)+(108)+(0)</f>
        <v>108</v>
      </c>
      <c r="AY77" s="113">
        <f>+(0)+(0)+(96)+(0)+(0)+(0)+(0)+(145.8)</f>
        <v>241.8</v>
      </c>
      <c r="AZ77" s="71">
        <v>120</v>
      </c>
      <c r="BA77" s="71">
        <f t="shared" si="105"/>
        <v>670.8</v>
      </c>
      <c r="BB77" s="135">
        <f>+(0)+(84)+(0)+(78)</f>
        <v>162</v>
      </c>
      <c r="BC77" s="135">
        <f>+(0)+(30)+(0)+(0)+(0)+(0)+(51)+(21)</f>
        <v>102</v>
      </c>
      <c r="BD77" s="50">
        <v>120</v>
      </c>
      <c r="BE77" s="50">
        <f t="shared" si="104"/>
        <v>814.8</v>
      </c>
      <c r="BG77" s="207">
        <v>60</v>
      </c>
      <c r="BH77" s="139">
        <v>0</v>
      </c>
      <c r="BI77" s="139">
        <v>0</v>
      </c>
      <c r="BJ77" s="139">
        <v>0</v>
      </c>
      <c r="BK77" s="139">
        <v>0</v>
      </c>
      <c r="BL77" s="139">
        <v>0</v>
      </c>
      <c r="BM77" s="139">
        <v>0</v>
      </c>
      <c r="BN77" s="139">
        <v>0</v>
      </c>
      <c r="BO77" s="139">
        <v>0</v>
      </c>
      <c r="BP77" s="139">
        <v>0</v>
      </c>
      <c r="BQ77" s="139">
        <v>0</v>
      </c>
      <c r="BR77" s="139">
        <v>0</v>
      </c>
      <c r="BS77" s="206">
        <v>120</v>
      </c>
      <c r="BT77" s="205">
        <f t="shared" si="112"/>
        <v>754.8</v>
      </c>
      <c r="BU77" s="153">
        <f t="shared" si="107"/>
        <v>960</v>
      </c>
    </row>
    <row r="78" spans="1:73" ht="25.8" thickBot="1" x14ac:dyDescent="0.65">
      <c r="A78" s="53">
        <v>70</v>
      </c>
      <c r="B78" s="143" t="s">
        <v>328</v>
      </c>
      <c r="C78" s="144" t="s">
        <v>165</v>
      </c>
      <c r="D78" s="145">
        <v>44227</v>
      </c>
      <c r="E78" s="146">
        <v>3</v>
      </c>
      <c r="F78" s="146">
        <f t="shared" si="119"/>
        <v>1599.9900000000002</v>
      </c>
      <c r="G78" s="146">
        <f t="shared" si="120"/>
        <v>967.2</v>
      </c>
      <c r="H78" s="147">
        <f t="shared" si="121"/>
        <v>2567.1900000000005</v>
      </c>
      <c r="I78" s="148">
        <v>12</v>
      </c>
      <c r="J78" s="81">
        <v>12</v>
      </c>
      <c r="K78" s="208" t="s">
        <v>309</v>
      </c>
      <c r="L78" s="149">
        <v>46539</v>
      </c>
      <c r="M78" s="150"/>
      <c r="N78" s="151" t="str">
        <f t="shared" ca="1" si="81"/>
        <v>O.K.</v>
      </c>
      <c r="Z78" s="3" t="s">
        <v>328</v>
      </c>
      <c r="AA78" s="34">
        <v>156</v>
      </c>
      <c r="AB78" s="34">
        <v>0</v>
      </c>
      <c r="AC78" s="35">
        <v>0</v>
      </c>
      <c r="AD78" s="35">
        <v>0</v>
      </c>
      <c r="AE78" s="35">
        <v>0</v>
      </c>
      <c r="AF78" s="24">
        <v>0</v>
      </c>
      <c r="AG78" s="21">
        <f t="shared" si="57"/>
        <v>0</v>
      </c>
      <c r="AH78" s="42">
        <v>0</v>
      </c>
      <c r="AI78" s="42">
        <v>0</v>
      </c>
      <c r="AJ78" s="35">
        <v>0</v>
      </c>
      <c r="AK78" s="17">
        <f t="shared" si="58"/>
        <v>0</v>
      </c>
      <c r="AL78" s="42">
        <f>+(0)+(0)+(0)+(0)+(0)+(0)</f>
        <v>0</v>
      </c>
      <c r="AM78" s="42">
        <f>+(162)+(0)+(0)+(0)+(0)+(0)</f>
        <v>162</v>
      </c>
      <c r="AN78" s="35">
        <v>150</v>
      </c>
      <c r="AO78" s="24">
        <f t="shared" si="59"/>
        <v>12</v>
      </c>
      <c r="AP78" s="42">
        <f>+(0)+(0)+(0)+(0)+(0)+(0)</f>
        <v>0</v>
      </c>
      <c r="AQ78" s="42">
        <f>+(0)+(0)+(0)+(0)+(96)+(96)</f>
        <v>192</v>
      </c>
      <c r="AR78" s="68">
        <v>150</v>
      </c>
      <c r="AS78" s="71">
        <f t="shared" si="60"/>
        <v>54</v>
      </c>
      <c r="AT78" s="60">
        <f>+(0)+(0)+(0)+(0)+(0)+(240)</f>
        <v>240</v>
      </c>
      <c r="AU78" s="60">
        <f t="shared" si="75"/>
        <v>0</v>
      </c>
      <c r="AV78" s="94">
        <v>150</v>
      </c>
      <c r="AW78" s="71">
        <f t="shared" si="61"/>
        <v>144</v>
      </c>
      <c r="AX78" s="60">
        <f t="shared" si="115"/>
        <v>0</v>
      </c>
      <c r="AY78" s="113">
        <f t="shared" si="16"/>
        <v>0</v>
      </c>
      <c r="AZ78" s="72">
        <v>144</v>
      </c>
      <c r="BA78" s="72">
        <f t="shared" si="105"/>
        <v>0</v>
      </c>
      <c r="BB78" s="135">
        <f>+(0)+(0)+(0)+(43.2)</f>
        <v>43.2</v>
      </c>
      <c r="BC78" s="135">
        <f>+(0)+(96)+(78)+(0)+(0)+(0)+(0)+(0)</f>
        <v>174</v>
      </c>
      <c r="BD78" s="50">
        <v>150</v>
      </c>
      <c r="BE78" s="50">
        <f t="shared" si="104"/>
        <v>67.199999999999989</v>
      </c>
      <c r="BG78" s="139">
        <v>0</v>
      </c>
      <c r="BH78" s="139">
        <v>0</v>
      </c>
      <c r="BI78" s="139">
        <v>0</v>
      </c>
      <c r="BJ78" s="139">
        <v>0</v>
      </c>
      <c r="BK78" s="139">
        <v>0</v>
      </c>
      <c r="BL78" s="139">
        <v>0</v>
      </c>
      <c r="BM78" s="139">
        <v>0</v>
      </c>
      <c r="BN78" s="139">
        <v>0</v>
      </c>
      <c r="BO78" s="139">
        <v>0</v>
      </c>
      <c r="BP78" s="139">
        <v>0</v>
      </c>
      <c r="BQ78" s="139">
        <v>0</v>
      </c>
      <c r="BR78" s="139">
        <v>0</v>
      </c>
      <c r="BS78" s="206">
        <v>67.2</v>
      </c>
      <c r="BT78" s="205">
        <f t="shared" si="112"/>
        <v>0</v>
      </c>
      <c r="BU78" s="153">
        <f t="shared" si="107"/>
        <v>967.2</v>
      </c>
    </row>
    <row r="79" spans="1:73" ht="25.8" thickBot="1" x14ac:dyDescent="0.65">
      <c r="A79" s="53">
        <v>71</v>
      </c>
      <c r="B79" s="143" t="s">
        <v>518</v>
      </c>
      <c r="C79" s="144" t="s">
        <v>168</v>
      </c>
      <c r="D79" s="145">
        <v>45946</v>
      </c>
      <c r="E79" s="146">
        <v>0</v>
      </c>
      <c r="F79" s="146">
        <f t="shared" si="119"/>
        <v>0</v>
      </c>
      <c r="G79" s="146">
        <f t="shared" ref="G79" si="122">+BU79</f>
        <v>0</v>
      </c>
      <c r="H79" s="147">
        <f t="shared" ref="H79" si="123">+F79+G79</f>
        <v>0</v>
      </c>
      <c r="I79" s="148">
        <v>15</v>
      </c>
      <c r="J79" s="81">
        <v>15</v>
      </c>
      <c r="K79" s="208"/>
      <c r="L79" s="149">
        <v>46676</v>
      </c>
      <c r="M79" s="150"/>
      <c r="N79" s="151" t="str">
        <f t="shared" ca="1" si="81"/>
        <v>O.K.</v>
      </c>
      <c r="Z79" s="3" t="s">
        <v>518</v>
      </c>
      <c r="AA79" s="34"/>
      <c r="AB79" s="34"/>
      <c r="AC79" s="35"/>
      <c r="AD79" s="35"/>
      <c r="AE79" s="35"/>
      <c r="AF79" s="24"/>
      <c r="AG79" s="21"/>
      <c r="AH79" s="42"/>
      <c r="AI79" s="42"/>
      <c r="AJ79" s="35"/>
      <c r="AK79" s="17"/>
      <c r="AL79" s="42"/>
      <c r="AM79" s="42"/>
      <c r="AN79" s="35"/>
      <c r="AO79" s="24"/>
      <c r="AP79" s="42"/>
      <c r="AQ79" s="42"/>
      <c r="AR79" s="68"/>
      <c r="AS79" s="71"/>
      <c r="AT79" s="60"/>
      <c r="AU79" s="60"/>
      <c r="AV79" s="94"/>
      <c r="AW79" s="71"/>
      <c r="AX79" s="60"/>
      <c r="AY79" s="113"/>
      <c r="AZ79" s="72"/>
      <c r="BA79" s="72"/>
      <c r="BB79" s="135"/>
      <c r="BC79" s="135"/>
      <c r="BD79" s="50"/>
      <c r="BE79" s="50"/>
      <c r="BG79" s="139">
        <v>0</v>
      </c>
      <c r="BH79" s="139">
        <v>0</v>
      </c>
      <c r="BI79" s="139">
        <v>0</v>
      </c>
      <c r="BJ79" s="139">
        <v>0</v>
      </c>
      <c r="BK79" s="139">
        <v>0</v>
      </c>
      <c r="BL79" s="139">
        <v>0</v>
      </c>
      <c r="BM79" s="139">
        <v>0</v>
      </c>
      <c r="BN79" s="139">
        <v>0</v>
      </c>
      <c r="BO79" s="139">
        <v>0</v>
      </c>
      <c r="BP79" s="139">
        <v>0</v>
      </c>
      <c r="BQ79" s="139">
        <v>0</v>
      </c>
      <c r="BR79" s="139">
        <v>0</v>
      </c>
      <c r="BS79" s="206">
        <v>0</v>
      </c>
      <c r="BT79" s="205">
        <f t="shared" si="112"/>
        <v>0</v>
      </c>
      <c r="BU79" s="153">
        <f t="shared" si="107"/>
        <v>0</v>
      </c>
    </row>
    <row r="80" spans="1:73" ht="25.8" thickBot="1" x14ac:dyDescent="0.65">
      <c r="A80" s="53">
        <v>72</v>
      </c>
      <c r="B80" s="143" t="s">
        <v>239</v>
      </c>
      <c r="C80" s="144" t="s">
        <v>166</v>
      </c>
      <c r="D80" s="145">
        <v>42101</v>
      </c>
      <c r="E80" s="146">
        <v>5</v>
      </c>
      <c r="F80" s="146">
        <f t="shared" ref="F80:F114" si="124">+E80*$C$1</f>
        <v>2666.65</v>
      </c>
      <c r="G80" s="146">
        <f t="shared" ref="G80:G104" si="125">+BU80</f>
        <v>1488</v>
      </c>
      <c r="H80" s="147">
        <f t="shared" ref="H80:H114" si="126">+F80+G80</f>
        <v>4154.6499999999996</v>
      </c>
      <c r="I80" s="148">
        <v>11</v>
      </c>
      <c r="J80" s="81">
        <v>11</v>
      </c>
      <c r="L80" s="149">
        <v>46497</v>
      </c>
      <c r="M80" s="150"/>
      <c r="N80" s="151" t="str">
        <f t="shared" ca="1" si="81"/>
        <v>O.K.</v>
      </c>
      <c r="Z80" s="3" t="s">
        <v>239</v>
      </c>
      <c r="AA80" s="34">
        <v>0</v>
      </c>
      <c r="AB80" s="34">
        <v>96</v>
      </c>
      <c r="AC80" s="35">
        <v>96</v>
      </c>
      <c r="AD80" s="35">
        <v>96</v>
      </c>
      <c r="AE80" s="35">
        <v>150</v>
      </c>
      <c r="AF80" s="24">
        <v>330</v>
      </c>
      <c r="AG80" s="21">
        <f t="shared" si="57"/>
        <v>180</v>
      </c>
      <c r="AH80" s="42">
        <v>264</v>
      </c>
      <c r="AI80" s="42">
        <f>+(0)+(54)+(78)+(0)+(0)+(37.8)</f>
        <v>169.8</v>
      </c>
      <c r="AJ80" s="35">
        <v>150</v>
      </c>
      <c r="AK80" s="17">
        <f t="shared" si="58"/>
        <v>463.79999999999995</v>
      </c>
      <c r="AL80" s="42">
        <f>+(0)+(0)+(0)+(0)+(0)+(0)</f>
        <v>0</v>
      </c>
      <c r="AM80" s="42">
        <f>+(0)+(0)+(0)+(0)+(0)+(0)</f>
        <v>0</v>
      </c>
      <c r="AN80" s="35">
        <v>150</v>
      </c>
      <c r="AO80" s="24">
        <f t="shared" si="59"/>
        <v>313.79999999999995</v>
      </c>
      <c r="AP80" s="42">
        <f>+(0)+(0)+(0)+(0)+(0)+(0)</f>
        <v>0</v>
      </c>
      <c r="AQ80" s="42">
        <f>+(96)+(0)+(216)+(0)+(0)+(0)</f>
        <v>312</v>
      </c>
      <c r="AR80" s="68">
        <v>150</v>
      </c>
      <c r="AS80" s="71">
        <f t="shared" si="60"/>
        <v>475.79999999999995</v>
      </c>
      <c r="AT80" s="60">
        <f t="shared" ref="AT80:AU397" si="127">+(0)+(0)+(0)+(0)+(0)+(0)</f>
        <v>0</v>
      </c>
      <c r="AU80" s="60">
        <f>+(0)+(171.6)+(0)+(0)+(0)+(0)</f>
        <v>171.6</v>
      </c>
      <c r="AV80" s="94">
        <v>150</v>
      </c>
      <c r="AW80" s="71">
        <f t="shared" si="61"/>
        <v>497.4</v>
      </c>
      <c r="AX80" s="60">
        <f t="shared" si="115"/>
        <v>0</v>
      </c>
      <c r="AY80" s="113">
        <f>+(0)+(0)+(0)+(78)+(54.6)+(0)+(0)+(0)</f>
        <v>132.6</v>
      </c>
      <c r="AZ80" s="72">
        <v>150</v>
      </c>
      <c r="BA80" s="72">
        <f t="shared" si="105"/>
        <v>480</v>
      </c>
      <c r="BB80" s="135">
        <f t="shared" si="106"/>
        <v>0</v>
      </c>
      <c r="BC80" s="135">
        <f>+(0)+(78)+(0)+(0)+(0)+(264)+(0)+(0)</f>
        <v>342</v>
      </c>
      <c r="BD80" s="50">
        <v>150</v>
      </c>
      <c r="BE80" s="50">
        <f t="shared" si="104"/>
        <v>672</v>
      </c>
      <c r="BG80" s="139">
        <v>0</v>
      </c>
      <c r="BH80" s="139">
        <v>0</v>
      </c>
      <c r="BI80" s="139">
        <v>0</v>
      </c>
      <c r="BJ80" s="139">
        <v>0</v>
      </c>
      <c r="BK80" s="139">
        <v>0</v>
      </c>
      <c r="BL80" s="139">
        <v>0</v>
      </c>
      <c r="BM80" s="139">
        <v>0</v>
      </c>
      <c r="BN80" s="139">
        <v>0</v>
      </c>
      <c r="BO80" s="139">
        <v>0</v>
      </c>
      <c r="BP80" s="139">
        <v>0</v>
      </c>
      <c r="BQ80" s="139">
        <v>0</v>
      </c>
      <c r="BR80" s="139">
        <v>0</v>
      </c>
      <c r="BS80" s="206">
        <v>150</v>
      </c>
      <c r="BT80" s="205">
        <f t="shared" si="112"/>
        <v>522</v>
      </c>
      <c r="BU80" s="153">
        <f t="shared" si="107"/>
        <v>1488</v>
      </c>
    </row>
    <row r="81" spans="1:73" ht="25.8" thickBot="1" x14ac:dyDescent="0.65">
      <c r="A81" s="53">
        <v>73</v>
      </c>
      <c r="B81" s="143" t="s">
        <v>280</v>
      </c>
      <c r="C81" s="144" t="s">
        <v>166</v>
      </c>
      <c r="D81" s="145">
        <v>43577</v>
      </c>
      <c r="E81" s="146">
        <v>3</v>
      </c>
      <c r="F81" s="146">
        <f t="shared" si="124"/>
        <v>1599.9900000000002</v>
      </c>
      <c r="G81" s="146">
        <f t="shared" si="125"/>
        <v>1200</v>
      </c>
      <c r="H81" s="147">
        <f t="shared" si="126"/>
        <v>2799.9900000000002</v>
      </c>
      <c r="I81" s="148">
        <v>12</v>
      </c>
      <c r="J81" s="81">
        <v>12</v>
      </c>
      <c r="L81" s="149">
        <v>46499</v>
      </c>
      <c r="M81" s="150"/>
      <c r="N81" s="151" t="str">
        <f t="shared" ca="1" si="81"/>
        <v>O.K.</v>
      </c>
      <c r="Z81" s="3" t="s">
        <v>280</v>
      </c>
      <c r="AA81" s="34">
        <v>0</v>
      </c>
      <c r="AB81" s="34">
        <v>0</v>
      </c>
      <c r="AC81" s="35">
        <v>0</v>
      </c>
      <c r="AD81" s="35">
        <v>0</v>
      </c>
      <c r="AE81" s="35">
        <v>150</v>
      </c>
      <c r="AF81" s="24">
        <v>156</v>
      </c>
      <c r="AG81" s="21">
        <f t="shared" si="57"/>
        <v>6</v>
      </c>
      <c r="AH81" s="42">
        <v>0</v>
      </c>
      <c r="AI81" s="42">
        <f>+(0)+(78)+(0)+(228)+(0)+(216)</f>
        <v>522</v>
      </c>
      <c r="AJ81" s="35">
        <v>150</v>
      </c>
      <c r="AK81" s="17">
        <f t="shared" si="58"/>
        <v>378</v>
      </c>
      <c r="AL81" s="42">
        <f>+(0)+(0)+(0)+(0)+(0)+(78)</f>
        <v>78</v>
      </c>
      <c r="AM81" s="42">
        <f>+(0)+(0)+(174)+(0)+(0)+(67.2)</f>
        <v>241.2</v>
      </c>
      <c r="AN81" s="35">
        <v>150</v>
      </c>
      <c r="AO81" s="24">
        <f t="shared" si="59"/>
        <v>547.20000000000005</v>
      </c>
      <c r="AP81" s="42">
        <v>156</v>
      </c>
      <c r="AQ81" s="42">
        <f>+(0)+(108.6)+(0)+(0)+(0)+(96)</f>
        <v>204.6</v>
      </c>
      <c r="AR81" s="68">
        <v>150</v>
      </c>
      <c r="AS81" s="71">
        <f t="shared" si="60"/>
        <v>757.80000000000007</v>
      </c>
      <c r="AT81" s="60">
        <f t="shared" si="127"/>
        <v>0</v>
      </c>
      <c r="AU81" s="60">
        <f t="shared" si="127"/>
        <v>0</v>
      </c>
      <c r="AV81" s="94">
        <v>150</v>
      </c>
      <c r="AW81" s="71">
        <f t="shared" si="61"/>
        <v>607.80000000000007</v>
      </c>
      <c r="AX81" s="60">
        <f t="shared" si="115"/>
        <v>0</v>
      </c>
      <c r="AY81" s="113">
        <f t="shared" si="16"/>
        <v>0</v>
      </c>
      <c r="AZ81" s="72">
        <v>150</v>
      </c>
      <c r="BA81" s="72">
        <f t="shared" si="105"/>
        <v>457.80000000000007</v>
      </c>
      <c r="BB81" s="135">
        <f t="shared" si="106"/>
        <v>0</v>
      </c>
      <c r="BC81" s="135">
        <f t="shared" si="116"/>
        <v>0</v>
      </c>
      <c r="BD81" s="50">
        <v>150</v>
      </c>
      <c r="BE81" s="50">
        <f t="shared" si="104"/>
        <v>307.80000000000007</v>
      </c>
      <c r="BG81" s="139">
        <v>0</v>
      </c>
      <c r="BH81" s="139">
        <v>0</v>
      </c>
      <c r="BI81" s="139">
        <v>0</v>
      </c>
      <c r="BJ81" s="139">
        <v>0</v>
      </c>
      <c r="BK81" s="139">
        <v>0</v>
      </c>
      <c r="BL81" s="139">
        <v>0</v>
      </c>
      <c r="BM81" s="139">
        <v>0</v>
      </c>
      <c r="BN81" s="139">
        <v>0</v>
      </c>
      <c r="BO81" s="139">
        <v>0</v>
      </c>
      <c r="BP81" s="139">
        <v>0</v>
      </c>
      <c r="BQ81" s="139">
        <v>0</v>
      </c>
      <c r="BR81" s="139">
        <v>0</v>
      </c>
      <c r="BS81" s="206">
        <v>150</v>
      </c>
      <c r="BT81" s="205">
        <f t="shared" si="112"/>
        <v>157.80000000000007</v>
      </c>
      <c r="BU81" s="153">
        <f t="shared" si="107"/>
        <v>1200</v>
      </c>
    </row>
    <row r="82" spans="1:73" ht="25.8" thickBot="1" x14ac:dyDescent="0.65">
      <c r="A82" s="53">
        <v>74</v>
      </c>
      <c r="B82" s="143" t="s">
        <v>281</v>
      </c>
      <c r="C82" s="144" t="s">
        <v>168</v>
      </c>
      <c r="D82" s="145">
        <v>43466</v>
      </c>
      <c r="E82" s="146">
        <v>4</v>
      </c>
      <c r="F82" s="146">
        <f t="shared" si="124"/>
        <v>2133.3200000000002</v>
      </c>
      <c r="G82" s="146">
        <f t="shared" si="125"/>
        <v>852</v>
      </c>
      <c r="H82" s="147">
        <f t="shared" si="126"/>
        <v>2985.32</v>
      </c>
      <c r="I82" s="148">
        <v>12</v>
      </c>
      <c r="J82" s="81">
        <v>12</v>
      </c>
      <c r="L82" s="149">
        <v>46692</v>
      </c>
      <c r="M82" s="150"/>
      <c r="N82" s="151" t="str">
        <f t="shared" ca="1" si="81"/>
        <v>O.K.</v>
      </c>
      <c r="Z82" s="3" t="s">
        <v>281</v>
      </c>
      <c r="AA82" s="34">
        <v>0</v>
      </c>
      <c r="AB82" s="34">
        <v>0</v>
      </c>
      <c r="AC82" s="35">
        <v>0</v>
      </c>
      <c r="AD82" s="35">
        <v>120</v>
      </c>
      <c r="AE82" s="35">
        <v>120</v>
      </c>
      <c r="AF82" s="24">
        <v>234</v>
      </c>
      <c r="AG82" s="21">
        <f t="shared" si="57"/>
        <v>114</v>
      </c>
      <c r="AH82" s="42">
        <v>0</v>
      </c>
      <c r="AI82" s="42">
        <f>+(0)+(0)+(0)+(0)+(54)+(162)</f>
        <v>216</v>
      </c>
      <c r="AJ82" s="35">
        <v>120</v>
      </c>
      <c r="AK82" s="17">
        <f t="shared" si="58"/>
        <v>210</v>
      </c>
      <c r="AL82" s="42">
        <f>+(0)+(0)+(0)+(0)+(0)+(0)</f>
        <v>0</v>
      </c>
      <c r="AM82" s="42">
        <f>+(0)+(0)+(0)+(0)+(0)+(0)</f>
        <v>0</v>
      </c>
      <c r="AN82" s="35">
        <v>120</v>
      </c>
      <c r="AO82" s="24">
        <f t="shared" si="59"/>
        <v>90</v>
      </c>
      <c r="AP82" s="42">
        <f>+(0)+(0)+(0)+(0)+(0)+(30)</f>
        <v>30</v>
      </c>
      <c r="AQ82" s="42">
        <f>+(0)+(0)+(0)+(0)+(0)+(0)</f>
        <v>0</v>
      </c>
      <c r="AR82" s="68">
        <v>120</v>
      </c>
      <c r="AS82" s="71">
        <f t="shared" si="60"/>
        <v>0</v>
      </c>
      <c r="AT82" s="60">
        <f>+(0)+(0)+(0)+(0)+(54)+(0)</f>
        <v>54</v>
      </c>
      <c r="AU82" s="60">
        <f t="shared" si="127"/>
        <v>0</v>
      </c>
      <c r="AV82" s="94">
        <v>54</v>
      </c>
      <c r="AW82" s="71">
        <f t="shared" si="61"/>
        <v>0</v>
      </c>
      <c r="AX82" s="60">
        <f t="shared" si="115"/>
        <v>0</v>
      </c>
      <c r="AY82" s="113">
        <f>+(0)+(0)+(0)+(0)+(0)+(0)+(0)+(78)</f>
        <v>78</v>
      </c>
      <c r="AZ82" s="71">
        <v>78</v>
      </c>
      <c r="BA82" s="71">
        <f t="shared" si="105"/>
        <v>0</v>
      </c>
      <c r="BB82" s="135">
        <f t="shared" si="106"/>
        <v>0</v>
      </c>
      <c r="BC82" s="135">
        <f t="shared" si="116"/>
        <v>0</v>
      </c>
      <c r="BD82" s="50">
        <v>0</v>
      </c>
      <c r="BE82" s="50">
        <f t="shared" si="104"/>
        <v>0</v>
      </c>
      <c r="BG82" s="207">
        <v>78</v>
      </c>
      <c r="BH82" s="207">
        <v>96</v>
      </c>
      <c r="BI82" s="139">
        <v>0</v>
      </c>
      <c r="BJ82" s="139">
        <v>0</v>
      </c>
      <c r="BK82" s="139">
        <v>0</v>
      </c>
      <c r="BL82" s="139">
        <v>0</v>
      </c>
      <c r="BM82" s="139">
        <v>0</v>
      </c>
      <c r="BN82" s="139">
        <v>0</v>
      </c>
      <c r="BO82" s="139">
        <v>0</v>
      </c>
      <c r="BP82" s="139">
        <v>0</v>
      </c>
      <c r="BQ82" s="139">
        <v>0</v>
      </c>
      <c r="BR82" s="139">
        <v>0</v>
      </c>
      <c r="BS82" s="206">
        <v>120</v>
      </c>
      <c r="BT82" s="205">
        <f t="shared" si="112"/>
        <v>54</v>
      </c>
      <c r="BU82" s="153">
        <f t="shared" si="107"/>
        <v>852</v>
      </c>
    </row>
    <row r="83" spans="1:73" ht="25.8" thickBot="1" x14ac:dyDescent="0.65">
      <c r="A83" s="53">
        <v>75</v>
      </c>
      <c r="B83" s="99" t="s">
        <v>377</v>
      </c>
      <c r="C83" s="100" t="s">
        <v>168</v>
      </c>
      <c r="D83" s="108">
        <v>44774</v>
      </c>
      <c r="E83" s="101">
        <v>1</v>
      </c>
      <c r="F83" s="101">
        <f t="shared" si="124"/>
        <v>533.33000000000004</v>
      </c>
      <c r="G83" s="101">
        <f t="shared" ref="G83" si="128">+BU83</f>
        <v>290.39999999999998</v>
      </c>
      <c r="H83" s="102">
        <f t="shared" ref="H83" si="129">+F83+G83</f>
        <v>823.73</v>
      </c>
      <c r="I83" s="103">
        <v>14</v>
      </c>
      <c r="J83" s="81">
        <v>14</v>
      </c>
      <c r="L83" s="96">
        <v>46235</v>
      </c>
      <c r="M83" s="97"/>
      <c r="N83" s="98" t="str">
        <f t="shared" ca="1" si="81"/>
        <v>O.K.</v>
      </c>
      <c r="Z83" s="3" t="s">
        <v>377</v>
      </c>
      <c r="AA83" s="34">
        <v>0</v>
      </c>
      <c r="AB83" s="34">
        <v>0</v>
      </c>
      <c r="AC83" s="35">
        <v>0</v>
      </c>
      <c r="AD83" s="35">
        <v>0</v>
      </c>
      <c r="AE83" s="35">
        <v>0</v>
      </c>
      <c r="AF83" s="24">
        <v>0</v>
      </c>
      <c r="AG83" s="21">
        <f t="shared" si="57"/>
        <v>0</v>
      </c>
      <c r="AH83" s="42">
        <v>0</v>
      </c>
      <c r="AI83" s="42">
        <v>0</v>
      </c>
      <c r="AJ83" s="35">
        <v>0</v>
      </c>
      <c r="AK83" s="17">
        <f t="shared" si="58"/>
        <v>0</v>
      </c>
      <c r="AL83" s="42">
        <v>0</v>
      </c>
      <c r="AM83" s="42">
        <v>0</v>
      </c>
      <c r="AN83" s="35">
        <v>0</v>
      </c>
      <c r="AO83" s="24">
        <f t="shared" si="59"/>
        <v>0</v>
      </c>
      <c r="AP83" s="42">
        <f t="shared" ref="AP83:AQ87" si="130">+(0)+(0)+(0)+(0)+(0)+(0)</f>
        <v>0</v>
      </c>
      <c r="AQ83" s="42">
        <f>+(0)+(0)+(0)+(0)+(0)+(67.2)</f>
        <v>67.2</v>
      </c>
      <c r="AR83" s="68">
        <v>67.2</v>
      </c>
      <c r="AS83" s="71">
        <f t="shared" si="60"/>
        <v>0</v>
      </c>
      <c r="AT83" s="60">
        <f>+(0)+(0)+(0)+(0)+(54)+(0)</f>
        <v>54</v>
      </c>
      <c r="AU83" s="60">
        <f t="shared" si="127"/>
        <v>0</v>
      </c>
      <c r="AV83" s="94">
        <v>54</v>
      </c>
      <c r="AW83" s="71">
        <f t="shared" si="61"/>
        <v>0</v>
      </c>
      <c r="AX83" s="60">
        <f>+(0)+(54)+(0)+(0)</f>
        <v>54</v>
      </c>
      <c r="AY83" s="113">
        <f>+(84)+(0)+(0)+(0)+(0)+(0)+(0)+(0)</f>
        <v>84</v>
      </c>
      <c r="AZ83" s="72">
        <v>120</v>
      </c>
      <c r="BA83" s="72">
        <f t="shared" si="105"/>
        <v>18</v>
      </c>
      <c r="BB83" s="135">
        <f t="shared" si="106"/>
        <v>0</v>
      </c>
      <c r="BC83" s="135">
        <f>+(0)+(0)+(0)+(0)+(0)+(0)+(0)+(31.2)</f>
        <v>31.2</v>
      </c>
      <c r="BD83" s="50">
        <v>49.2</v>
      </c>
      <c r="BE83" s="50">
        <f t="shared" si="104"/>
        <v>0</v>
      </c>
      <c r="BG83" s="139">
        <v>0</v>
      </c>
      <c r="BH83" s="139">
        <v>0</v>
      </c>
      <c r="BI83" s="139">
        <v>0</v>
      </c>
      <c r="BJ83" s="139">
        <v>0</v>
      </c>
      <c r="BK83" s="139">
        <v>0</v>
      </c>
      <c r="BL83" s="139">
        <v>0</v>
      </c>
      <c r="BM83" s="139">
        <v>0</v>
      </c>
      <c r="BN83" s="139">
        <v>0</v>
      </c>
      <c r="BO83" s="139">
        <v>0</v>
      </c>
      <c r="BP83" s="139">
        <v>0</v>
      </c>
      <c r="BQ83" s="139">
        <v>0</v>
      </c>
      <c r="BR83" s="139">
        <v>0</v>
      </c>
      <c r="BS83" s="206">
        <v>0</v>
      </c>
      <c r="BT83" s="205">
        <f t="shared" si="112"/>
        <v>0</v>
      </c>
      <c r="BU83" s="153">
        <f t="shared" si="107"/>
        <v>290.39999999999998</v>
      </c>
    </row>
    <row r="84" spans="1:73" ht="25.8" thickBot="1" x14ac:dyDescent="0.65">
      <c r="A84" s="53">
        <v>76</v>
      </c>
      <c r="B84" s="169" t="s">
        <v>332</v>
      </c>
      <c r="C84" s="170" t="s">
        <v>166</v>
      </c>
      <c r="D84" s="171">
        <v>44270</v>
      </c>
      <c r="E84" s="172">
        <v>4</v>
      </c>
      <c r="F84" s="172">
        <f t="shared" ref="F84" si="131">+E84*$C$1</f>
        <v>2133.3200000000002</v>
      </c>
      <c r="G84" s="172">
        <f t="shared" ref="G84" si="132">+BU84</f>
        <v>2605.8000000000002</v>
      </c>
      <c r="H84" s="173">
        <f t="shared" si="126"/>
        <v>4739.1200000000008</v>
      </c>
      <c r="I84" s="174">
        <v>9</v>
      </c>
      <c r="J84" s="81">
        <v>9</v>
      </c>
      <c r="K84" s="208" t="s">
        <v>309</v>
      </c>
      <c r="L84" s="175">
        <v>46743</v>
      </c>
      <c r="M84" s="167"/>
      <c r="N84" s="168" t="str">
        <f t="shared" ca="1" si="81"/>
        <v>O.K.</v>
      </c>
      <c r="Z84" s="3" t="s">
        <v>332</v>
      </c>
      <c r="AA84" s="70">
        <v>1705.8</v>
      </c>
      <c r="AB84" s="34">
        <v>0</v>
      </c>
      <c r="AC84" s="35">
        <v>0</v>
      </c>
      <c r="AD84" s="35">
        <v>0</v>
      </c>
      <c r="AE84" s="35">
        <v>0</v>
      </c>
      <c r="AF84" s="24">
        <v>0</v>
      </c>
      <c r="AG84" s="21">
        <f t="shared" si="57"/>
        <v>0</v>
      </c>
      <c r="AH84" s="42">
        <v>0</v>
      </c>
      <c r="AI84" s="42">
        <v>0</v>
      </c>
      <c r="AJ84" s="35">
        <v>0</v>
      </c>
      <c r="AK84" s="17">
        <f t="shared" si="58"/>
        <v>0</v>
      </c>
      <c r="AL84" s="42">
        <f>+(0)+(0)+(0)+(0)+(0)+(0)</f>
        <v>0</v>
      </c>
      <c r="AM84" s="42">
        <f>+(198)+(0)+(0)+(0)+(522)+(0)</f>
        <v>720</v>
      </c>
      <c r="AN84" s="35">
        <v>150</v>
      </c>
      <c r="AO84" s="65">
        <f t="shared" si="59"/>
        <v>570</v>
      </c>
      <c r="AP84" s="42">
        <f>+(0)+(0)+(78)+(0)+(78)+(30)</f>
        <v>186</v>
      </c>
      <c r="AQ84" s="42">
        <f>+(78)+(0)+(96)+(0)+(0)+(0)</f>
        <v>174</v>
      </c>
      <c r="AR84" s="68">
        <v>150</v>
      </c>
      <c r="AS84" s="71">
        <f t="shared" si="60"/>
        <v>780</v>
      </c>
      <c r="AT84" s="60">
        <f>+(0)+(0)+(0)+(0)+(54)+(0)</f>
        <v>54</v>
      </c>
      <c r="AU84" s="60">
        <f>+(0)+(228)+(0)+(0)+(0)+(0)</f>
        <v>228</v>
      </c>
      <c r="AV84" s="94">
        <v>150</v>
      </c>
      <c r="AW84" s="71">
        <f t="shared" si="61"/>
        <v>912</v>
      </c>
      <c r="AX84" s="60">
        <f>+(0)+(0)+(0)+(270)</f>
        <v>270</v>
      </c>
      <c r="AY84" s="113">
        <f>+(120)+(0)+(96)+(78)+(0)+(0)+(0)+(150)</f>
        <v>444</v>
      </c>
      <c r="AZ84" s="71">
        <v>150</v>
      </c>
      <c r="BA84" s="71">
        <f t="shared" si="105"/>
        <v>1476</v>
      </c>
      <c r="BB84" s="135">
        <f>+(0)+(0)+(0)+(78)</f>
        <v>78</v>
      </c>
      <c r="BC84" s="135">
        <f>+(0)+(0)+(156)+(78)+(54)+(0)+(0)+(0)</f>
        <v>288</v>
      </c>
      <c r="BD84" s="50">
        <v>150</v>
      </c>
      <c r="BE84" s="50">
        <f t="shared" si="104"/>
        <v>1692</v>
      </c>
      <c r="BG84" s="207">
        <v>54.6</v>
      </c>
      <c r="BH84" s="139">
        <v>0</v>
      </c>
      <c r="BI84" s="139">
        <v>0</v>
      </c>
      <c r="BJ84" s="139">
        <v>0</v>
      </c>
      <c r="BK84" s="139">
        <v>0</v>
      </c>
      <c r="BL84" s="139">
        <v>0</v>
      </c>
      <c r="BM84" s="139">
        <v>0</v>
      </c>
      <c r="BN84" s="139">
        <v>0</v>
      </c>
      <c r="BO84" s="139">
        <v>0</v>
      </c>
      <c r="BP84" s="139">
        <v>0</v>
      </c>
      <c r="BQ84" s="139">
        <v>0</v>
      </c>
      <c r="BR84" s="139">
        <v>0</v>
      </c>
      <c r="BS84" s="206">
        <v>150</v>
      </c>
      <c r="BT84" s="205">
        <f t="shared" si="112"/>
        <v>1596.6</v>
      </c>
      <c r="BU84" s="153">
        <f t="shared" si="107"/>
        <v>2605.8000000000002</v>
      </c>
    </row>
    <row r="85" spans="1:73" ht="25.8" thickBot="1" x14ac:dyDescent="0.65">
      <c r="A85" s="53">
        <v>77</v>
      </c>
      <c r="B85" s="83" t="s">
        <v>37</v>
      </c>
      <c r="C85" s="84" t="s">
        <v>168</v>
      </c>
      <c r="D85" s="83" t="s">
        <v>110</v>
      </c>
      <c r="E85" s="85">
        <v>15</v>
      </c>
      <c r="F85" s="85">
        <f t="shared" si="124"/>
        <v>7999.9500000000007</v>
      </c>
      <c r="G85" s="85">
        <f t="shared" si="125"/>
        <v>2181.6999999999998</v>
      </c>
      <c r="H85" s="86">
        <f t="shared" si="126"/>
        <v>10181.650000000001</v>
      </c>
      <c r="I85" s="87">
        <v>2</v>
      </c>
      <c r="J85" s="81">
        <v>2</v>
      </c>
      <c r="L85" s="88"/>
      <c r="M85" s="89"/>
      <c r="N85" s="90" t="s">
        <v>170</v>
      </c>
      <c r="Z85" s="3" t="s">
        <v>37</v>
      </c>
      <c r="AA85" s="36">
        <v>1319.5</v>
      </c>
      <c r="AB85" s="34">
        <v>96</v>
      </c>
      <c r="AC85" s="35">
        <v>96</v>
      </c>
      <c r="AD85" s="35">
        <v>96</v>
      </c>
      <c r="AE85" s="35">
        <v>54</v>
      </c>
      <c r="AF85" s="24">
        <v>54</v>
      </c>
      <c r="AG85" s="21">
        <f t="shared" si="57"/>
        <v>0</v>
      </c>
      <c r="AH85" s="42">
        <v>108.6</v>
      </c>
      <c r="AI85" s="42">
        <f>+(0)+(0)+(0)+(0)+(54)+(54)</f>
        <v>108</v>
      </c>
      <c r="AJ85" s="35">
        <v>120</v>
      </c>
      <c r="AK85" s="17">
        <f t="shared" si="58"/>
        <v>96.6</v>
      </c>
      <c r="AL85" s="42">
        <f>+(0)+(0)+(0)+(0)+(0)+(0)</f>
        <v>0</v>
      </c>
      <c r="AM85" s="42">
        <f>+(78)+(0)+(0)+(0)+(0)+(0)</f>
        <v>78</v>
      </c>
      <c r="AN85" s="35">
        <v>120</v>
      </c>
      <c r="AO85" s="24">
        <f t="shared" si="59"/>
        <v>54.599999999999994</v>
      </c>
      <c r="AP85" s="42">
        <f t="shared" si="130"/>
        <v>0</v>
      </c>
      <c r="AQ85" s="42">
        <f t="shared" si="130"/>
        <v>0</v>
      </c>
      <c r="AR85" s="68">
        <v>54.6</v>
      </c>
      <c r="AS85" s="71">
        <f t="shared" si="60"/>
        <v>0</v>
      </c>
      <c r="AT85" s="60">
        <f>+(0)+(0)+(0)+(0)+(54)+(0)</f>
        <v>54</v>
      </c>
      <c r="AU85" s="60">
        <f t="shared" si="127"/>
        <v>0</v>
      </c>
      <c r="AV85" s="94">
        <v>54</v>
      </c>
      <c r="AW85" s="71">
        <f t="shared" si="61"/>
        <v>0</v>
      </c>
      <c r="AX85" s="60">
        <f>+(0)+(0)+(30)+(0)</f>
        <v>30</v>
      </c>
      <c r="AY85" s="113">
        <f>+(120)+(0)+(0)+(0)+(0)+(0)+(0)+(0)</f>
        <v>120</v>
      </c>
      <c r="AZ85" s="72">
        <v>120</v>
      </c>
      <c r="BA85" s="72">
        <f t="shared" si="105"/>
        <v>30</v>
      </c>
      <c r="BB85" s="135">
        <f>+(0)+(0)+(0)+(21.6)</f>
        <v>21.6</v>
      </c>
      <c r="BC85" s="135">
        <f t="shared" si="116"/>
        <v>0</v>
      </c>
      <c r="BD85" s="50">
        <v>51.6</v>
      </c>
      <c r="BE85" s="50">
        <f t="shared" si="104"/>
        <v>0</v>
      </c>
      <c r="BG85" s="139">
        <v>0</v>
      </c>
      <c r="BH85" s="139">
        <v>0</v>
      </c>
      <c r="BI85" s="139">
        <v>0</v>
      </c>
      <c r="BJ85" s="139">
        <v>0</v>
      </c>
      <c r="BK85" s="139">
        <v>0</v>
      </c>
      <c r="BL85" s="139">
        <v>0</v>
      </c>
      <c r="BM85" s="139">
        <v>0</v>
      </c>
      <c r="BN85" s="139">
        <v>0</v>
      </c>
      <c r="BO85" s="139">
        <v>0</v>
      </c>
      <c r="BP85" s="139">
        <v>0</v>
      </c>
      <c r="BQ85" s="139">
        <v>0</v>
      </c>
      <c r="BR85" s="139">
        <v>0</v>
      </c>
      <c r="BS85" s="206">
        <v>0</v>
      </c>
      <c r="BT85" s="205">
        <f t="shared" si="112"/>
        <v>0</v>
      </c>
      <c r="BU85" s="153">
        <f t="shared" si="107"/>
        <v>2181.6999999999998</v>
      </c>
    </row>
    <row r="86" spans="1:73" ht="25.8" thickBot="1" x14ac:dyDescent="0.65">
      <c r="A86" s="53">
        <v>78</v>
      </c>
      <c r="B86" s="143" t="s">
        <v>343</v>
      </c>
      <c r="C86" s="144" t="s">
        <v>166</v>
      </c>
      <c r="D86" s="145">
        <v>44317</v>
      </c>
      <c r="E86" s="146">
        <v>2</v>
      </c>
      <c r="F86" s="146">
        <f t="shared" si="124"/>
        <v>1066.6600000000001</v>
      </c>
      <c r="G86" s="146">
        <f t="shared" si="125"/>
        <v>1146</v>
      </c>
      <c r="H86" s="147">
        <f t="shared" si="126"/>
        <v>2212.66</v>
      </c>
      <c r="I86" s="148">
        <v>13</v>
      </c>
      <c r="J86" s="81">
        <v>13</v>
      </c>
      <c r="L86" s="149">
        <v>46388</v>
      </c>
      <c r="M86" s="150"/>
      <c r="N86" s="151" t="str">
        <f t="shared" ca="1" si="81"/>
        <v>O.K.</v>
      </c>
      <c r="Z86" s="3" t="s">
        <v>343</v>
      </c>
      <c r="AA86" s="70">
        <v>246</v>
      </c>
      <c r="AB86" s="34">
        <v>0</v>
      </c>
      <c r="AC86" s="35">
        <v>0</v>
      </c>
      <c r="AD86" s="35">
        <v>0</v>
      </c>
      <c r="AE86" s="35">
        <v>0</v>
      </c>
      <c r="AF86" s="24">
        <v>0</v>
      </c>
      <c r="AG86" s="21">
        <f t="shared" ref="AG86" si="133">+AF86-AE86</f>
        <v>0</v>
      </c>
      <c r="AH86" s="42">
        <v>0</v>
      </c>
      <c r="AI86" s="42">
        <v>0</v>
      </c>
      <c r="AJ86" s="35">
        <v>0</v>
      </c>
      <c r="AK86" s="17">
        <f t="shared" ref="AK86" si="134">+AG86+(AH86+AI86)-AJ86</f>
        <v>0</v>
      </c>
      <c r="AL86" s="42">
        <f>+(0)+(0)+(0)+(0)+(0)+(0)</f>
        <v>0</v>
      </c>
      <c r="AM86" s="42">
        <f>+(78)+(0)+(0)+(0)+(0)+(228)</f>
        <v>306</v>
      </c>
      <c r="AN86" s="35">
        <v>150</v>
      </c>
      <c r="AO86" s="24">
        <f t="shared" ref="AO86" si="135">+AK86+AL86+AM86-AN86</f>
        <v>156</v>
      </c>
      <c r="AP86" s="42">
        <f t="shared" si="130"/>
        <v>0</v>
      </c>
      <c r="AQ86" s="42">
        <f>+(0)+(54.6)+(67.2)+(0)+(0)+(96)</f>
        <v>217.8</v>
      </c>
      <c r="AR86" s="68">
        <v>150</v>
      </c>
      <c r="AS86" s="71">
        <f t="shared" si="60"/>
        <v>223.8</v>
      </c>
      <c r="AT86" s="60">
        <f>+(108)+(0)+(0)+(0)+(54)+(0)</f>
        <v>162</v>
      </c>
      <c r="AU86" s="60">
        <f>+(0)+(157.8)+(0)+(0)+(0)+(0)</f>
        <v>157.80000000000001</v>
      </c>
      <c r="AV86" s="94">
        <v>150</v>
      </c>
      <c r="AW86" s="71">
        <f t="shared" si="61"/>
        <v>393.6</v>
      </c>
      <c r="AX86" s="60">
        <f>+(0)+(0)+(0)+(96)</f>
        <v>96</v>
      </c>
      <c r="AY86" s="113">
        <f>+(0)+(0)+(96)+(0)+(0)+(0)+(0)+(0)</f>
        <v>96</v>
      </c>
      <c r="AZ86" s="72">
        <v>150</v>
      </c>
      <c r="BA86" s="72">
        <f t="shared" si="105"/>
        <v>435.6</v>
      </c>
      <c r="BB86" s="135">
        <f t="shared" si="106"/>
        <v>0</v>
      </c>
      <c r="BC86" s="135">
        <f t="shared" si="116"/>
        <v>0</v>
      </c>
      <c r="BD86" s="50">
        <v>150</v>
      </c>
      <c r="BE86" s="50">
        <f t="shared" si="104"/>
        <v>285.60000000000002</v>
      </c>
      <c r="BG86" s="207">
        <v>78</v>
      </c>
      <c r="BH86" s="139">
        <v>0</v>
      </c>
      <c r="BI86" s="139">
        <v>0</v>
      </c>
      <c r="BJ86" s="139">
        <v>0</v>
      </c>
      <c r="BK86" s="139">
        <v>0</v>
      </c>
      <c r="BL86" s="139">
        <v>0</v>
      </c>
      <c r="BM86" s="139">
        <v>0</v>
      </c>
      <c r="BN86" s="139">
        <v>0</v>
      </c>
      <c r="BO86" s="139">
        <v>0</v>
      </c>
      <c r="BP86" s="139">
        <v>0</v>
      </c>
      <c r="BQ86" s="139">
        <v>0</v>
      </c>
      <c r="BR86" s="139">
        <v>0</v>
      </c>
      <c r="BS86" s="206">
        <v>150</v>
      </c>
      <c r="BT86" s="205">
        <f t="shared" si="112"/>
        <v>213.60000000000002</v>
      </c>
      <c r="BU86" s="153">
        <f t="shared" si="107"/>
        <v>1146</v>
      </c>
    </row>
    <row r="87" spans="1:73" ht="25.8" thickBot="1" x14ac:dyDescent="0.65">
      <c r="A87" s="53">
        <v>79</v>
      </c>
      <c r="B87" s="99" t="s">
        <v>181</v>
      </c>
      <c r="C87" s="100" t="s">
        <v>164</v>
      </c>
      <c r="D87" s="108">
        <v>42507</v>
      </c>
      <c r="E87" s="101">
        <v>4</v>
      </c>
      <c r="F87" s="101">
        <f t="shared" si="124"/>
        <v>2133.3200000000002</v>
      </c>
      <c r="G87" s="101">
        <f t="shared" si="125"/>
        <v>1272</v>
      </c>
      <c r="H87" s="102">
        <f t="shared" si="126"/>
        <v>3405.32</v>
      </c>
      <c r="I87" s="103">
        <v>11</v>
      </c>
      <c r="J87" s="81">
        <v>11</v>
      </c>
      <c r="L87" s="96">
        <v>46158</v>
      </c>
      <c r="M87" s="97"/>
      <c r="N87" s="98" t="str">
        <f t="shared" ca="1" si="81"/>
        <v>O.K.</v>
      </c>
      <c r="Z87" s="3" t="s">
        <v>181</v>
      </c>
      <c r="AA87" s="36">
        <v>0</v>
      </c>
      <c r="AB87" s="34">
        <v>96</v>
      </c>
      <c r="AC87" s="35">
        <v>96</v>
      </c>
      <c r="AD87" s="35">
        <v>120</v>
      </c>
      <c r="AE87" s="35">
        <v>120</v>
      </c>
      <c r="AF87" s="24">
        <v>156</v>
      </c>
      <c r="AG87" s="21">
        <f>+AF87-AE87</f>
        <v>36</v>
      </c>
      <c r="AH87" s="42">
        <v>54</v>
      </c>
      <c r="AI87" s="42">
        <f>+(0)+(78)+(0)+(0)+(0)+(108)</f>
        <v>186</v>
      </c>
      <c r="AJ87" s="35">
        <v>120</v>
      </c>
      <c r="AK87" s="17">
        <f>+AG87+(AH87+AI87)-AJ87</f>
        <v>156</v>
      </c>
      <c r="AL87" s="42">
        <f>+(0)+(0)+(0)+(0)+(30)+(0)</f>
        <v>30</v>
      </c>
      <c r="AM87" s="42">
        <f>+(0)+(108)+(0)+(0)+(0)+(0)</f>
        <v>108</v>
      </c>
      <c r="AN87" s="35">
        <v>120</v>
      </c>
      <c r="AO87" s="24">
        <f>+AK87+AL87+AM87-AN87</f>
        <v>174</v>
      </c>
      <c r="AP87" s="42">
        <f t="shared" si="130"/>
        <v>0</v>
      </c>
      <c r="AQ87" s="42">
        <f t="shared" si="130"/>
        <v>0</v>
      </c>
      <c r="AR87" s="68">
        <v>120</v>
      </c>
      <c r="AS87" s="71">
        <f t="shared" ref="AS87:AS89" si="136">+AO87+AP87+AQ87-AR87</f>
        <v>54</v>
      </c>
      <c r="AT87" s="60">
        <f>+(0)+(0)+(0)+(0)+(30)+(37.8)</f>
        <v>67.8</v>
      </c>
      <c r="AU87" s="60">
        <f t="shared" si="127"/>
        <v>0</v>
      </c>
      <c r="AV87" s="94">
        <v>120</v>
      </c>
      <c r="AW87" s="71">
        <f t="shared" ref="AW87:AW89" si="137">+AS87+AT87+AU87-AV87</f>
        <v>1.7999999999999972</v>
      </c>
      <c r="AX87" s="60">
        <f>+(0)+(0)+(0)+(78)</f>
        <v>78</v>
      </c>
      <c r="AY87" s="113">
        <f>+(0)+(0)+(96)+(0)+(0)+(78)+(0)+(78)</f>
        <v>252</v>
      </c>
      <c r="AZ87" s="71">
        <v>120</v>
      </c>
      <c r="BA87" s="71">
        <f t="shared" si="105"/>
        <v>211.8</v>
      </c>
      <c r="BB87" s="135">
        <f>+(0)+(30)+(0)+(0)</f>
        <v>30</v>
      </c>
      <c r="BC87" s="135">
        <f>+(0)+(0)+(0)+(108)+(0)+(0)+(0)+(0)</f>
        <v>108</v>
      </c>
      <c r="BD87" s="50">
        <v>120</v>
      </c>
      <c r="BE87" s="50">
        <f t="shared" si="104"/>
        <v>229.8</v>
      </c>
      <c r="BG87" s="139">
        <v>0</v>
      </c>
      <c r="BH87" s="139">
        <v>0</v>
      </c>
      <c r="BI87" s="139">
        <v>0</v>
      </c>
      <c r="BJ87" s="139">
        <v>0</v>
      </c>
      <c r="BK87" s="139">
        <v>0</v>
      </c>
      <c r="BL87" s="139">
        <v>0</v>
      </c>
      <c r="BM87" s="139">
        <v>0</v>
      </c>
      <c r="BN87" s="139">
        <v>0</v>
      </c>
      <c r="BO87" s="139">
        <v>0</v>
      </c>
      <c r="BP87" s="139">
        <v>0</v>
      </c>
      <c r="BQ87" s="139">
        <v>0</v>
      </c>
      <c r="BR87" s="139">
        <v>0</v>
      </c>
      <c r="BS87" s="206">
        <v>120</v>
      </c>
      <c r="BT87" s="205">
        <f t="shared" si="112"/>
        <v>109.80000000000001</v>
      </c>
      <c r="BU87" s="153">
        <f t="shared" si="107"/>
        <v>1272</v>
      </c>
    </row>
    <row r="88" spans="1:73" ht="25.8" thickBot="1" x14ac:dyDescent="0.65">
      <c r="A88" s="53">
        <v>80</v>
      </c>
      <c r="B88" s="83" t="s">
        <v>38</v>
      </c>
      <c r="C88" s="84" t="s">
        <v>168</v>
      </c>
      <c r="D88" s="83" t="s">
        <v>121</v>
      </c>
      <c r="E88" s="85">
        <v>15</v>
      </c>
      <c r="F88" s="85">
        <f t="shared" si="124"/>
        <v>7999.9500000000007</v>
      </c>
      <c r="G88" s="85">
        <f t="shared" si="125"/>
        <v>3211.5</v>
      </c>
      <c r="H88" s="86">
        <f t="shared" si="126"/>
        <v>11211.45</v>
      </c>
      <c r="I88" s="87">
        <v>1</v>
      </c>
      <c r="J88" s="81">
        <v>1</v>
      </c>
      <c r="L88" s="88"/>
      <c r="M88" s="89"/>
      <c r="N88" s="90" t="s">
        <v>170</v>
      </c>
      <c r="Z88" s="3" t="s">
        <v>38</v>
      </c>
      <c r="AA88" s="36">
        <v>1891.5</v>
      </c>
      <c r="AB88" s="34">
        <v>120</v>
      </c>
      <c r="AC88" s="35">
        <v>120</v>
      </c>
      <c r="AD88" s="35">
        <v>120</v>
      </c>
      <c r="AE88" s="35">
        <v>120</v>
      </c>
      <c r="AF88" s="24">
        <v>276</v>
      </c>
      <c r="AG88" s="21">
        <f>+AF88-AE88</f>
        <v>156</v>
      </c>
      <c r="AH88" s="42">
        <v>264</v>
      </c>
      <c r="AI88" s="42">
        <f>+(0)+(0)+(0)+(0)+(0)+(54)</f>
        <v>54</v>
      </c>
      <c r="AJ88" s="35">
        <v>120</v>
      </c>
      <c r="AK88" s="17">
        <f>+AG88+(AH88+AI88)-AJ88</f>
        <v>354</v>
      </c>
      <c r="AL88" s="42">
        <f>+(0)+(0)+(0)+(0)+(0)+(0)</f>
        <v>0</v>
      </c>
      <c r="AM88" s="42">
        <f>+(0)+(0)+(0)+(0)+(78)+(0)</f>
        <v>78</v>
      </c>
      <c r="AN88" s="35">
        <v>120</v>
      </c>
      <c r="AO88" s="24">
        <f>+AK88+AL88+AM88-AN88</f>
        <v>312</v>
      </c>
      <c r="AP88" s="42">
        <f>+(0)+(0)+(0)+(0)+(96)+(0)</f>
        <v>96</v>
      </c>
      <c r="AQ88" s="42">
        <f>+(0)+(78)+(216)+(0)+(0)+(108)</f>
        <v>402</v>
      </c>
      <c r="AR88" s="68">
        <v>120</v>
      </c>
      <c r="AS88" s="71">
        <f t="shared" si="136"/>
        <v>690</v>
      </c>
      <c r="AT88" s="60">
        <f t="shared" si="127"/>
        <v>0</v>
      </c>
      <c r="AU88" s="60">
        <f t="shared" si="127"/>
        <v>0</v>
      </c>
      <c r="AV88" s="94">
        <v>120</v>
      </c>
      <c r="AW88" s="71">
        <f t="shared" si="137"/>
        <v>570</v>
      </c>
      <c r="AX88" s="60">
        <f>+(0)+(0)+(30)+(0)</f>
        <v>30</v>
      </c>
      <c r="AY88" s="113">
        <f>+(0)+(0)+(96)+(0)+(0)+(108)+(0)+(0)</f>
        <v>204</v>
      </c>
      <c r="AZ88" s="72">
        <v>120</v>
      </c>
      <c r="BA88" s="72">
        <f t="shared" si="105"/>
        <v>684</v>
      </c>
      <c r="BB88" s="135">
        <f t="shared" si="106"/>
        <v>0</v>
      </c>
      <c r="BC88" s="135">
        <f t="shared" si="116"/>
        <v>0</v>
      </c>
      <c r="BD88" s="50">
        <v>120</v>
      </c>
      <c r="BE88" s="50">
        <f t="shared" si="104"/>
        <v>564</v>
      </c>
      <c r="BG88" s="139">
        <v>0</v>
      </c>
      <c r="BH88" s="139">
        <v>0</v>
      </c>
      <c r="BI88" s="139">
        <v>0</v>
      </c>
      <c r="BJ88" s="139">
        <v>0</v>
      </c>
      <c r="BK88" s="139">
        <v>0</v>
      </c>
      <c r="BL88" s="139">
        <v>0</v>
      </c>
      <c r="BM88" s="139">
        <v>0</v>
      </c>
      <c r="BN88" s="139">
        <v>0</v>
      </c>
      <c r="BO88" s="139">
        <v>0</v>
      </c>
      <c r="BP88" s="139">
        <v>0</v>
      </c>
      <c r="BQ88" s="139">
        <v>0</v>
      </c>
      <c r="BR88" s="139">
        <v>0</v>
      </c>
      <c r="BS88" s="206">
        <v>120</v>
      </c>
      <c r="BT88" s="205">
        <f t="shared" si="112"/>
        <v>444</v>
      </c>
      <c r="BU88" s="153">
        <f t="shared" si="107"/>
        <v>3211.5</v>
      </c>
    </row>
    <row r="89" spans="1:73" ht="25.8" thickBot="1" x14ac:dyDescent="0.65">
      <c r="A89" s="53">
        <v>81</v>
      </c>
      <c r="B89" s="99" t="s">
        <v>307</v>
      </c>
      <c r="C89" s="100" t="s">
        <v>168</v>
      </c>
      <c r="D89" s="108">
        <v>44270</v>
      </c>
      <c r="E89" s="101">
        <v>10</v>
      </c>
      <c r="F89" s="101">
        <f t="shared" ref="F89" si="138">+E89*$C$1</f>
        <v>5333.3</v>
      </c>
      <c r="G89" s="101">
        <f t="shared" ref="G89" si="139">+BU89</f>
        <v>840.6</v>
      </c>
      <c r="H89" s="102">
        <f t="shared" ref="H89" si="140">+F89+G89</f>
        <v>6173.9000000000005</v>
      </c>
      <c r="I89" s="103">
        <v>7</v>
      </c>
      <c r="J89" s="81">
        <v>7</v>
      </c>
      <c r="K89" s="208" t="s">
        <v>309</v>
      </c>
      <c r="L89" s="96">
        <v>46113</v>
      </c>
      <c r="M89" s="97"/>
      <c r="N89" s="98" t="str">
        <f t="shared" ref="N89:N93" ca="1" si="141">IF($B$2&lt;L89,"O.K.","A L E R T A ")</f>
        <v>O.K.</v>
      </c>
      <c r="Z89" s="3" t="s">
        <v>307</v>
      </c>
      <c r="AA89" s="49">
        <v>162.6</v>
      </c>
      <c r="AB89" s="34">
        <v>0</v>
      </c>
      <c r="AC89" s="35">
        <v>0</v>
      </c>
      <c r="AD89" s="35">
        <v>0</v>
      </c>
      <c r="AE89" s="35">
        <v>0</v>
      </c>
      <c r="AF89" s="24">
        <v>0</v>
      </c>
      <c r="AG89" s="21">
        <f t="shared" ref="AG89" si="142">+AF89-AE89</f>
        <v>0</v>
      </c>
      <c r="AH89" s="42">
        <v>0</v>
      </c>
      <c r="AI89" s="42">
        <f t="shared" ref="AI89" si="143">+(0)+(0)+(0)+(0)+(0)+(0)</f>
        <v>0</v>
      </c>
      <c r="AJ89" s="35">
        <v>0</v>
      </c>
      <c r="AK89" s="17">
        <f t="shared" ref="AK89:AK104" si="144">+AG89+(AH89+AI89)-AJ89</f>
        <v>0</v>
      </c>
      <c r="AL89" s="42">
        <f>+(0)+(0)+(0)+(0)+(0)+(0)</f>
        <v>0</v>
      </c>
      <c r="AM89" s="42">
        <f>+(0)+(0)+(78)+(0)+(0)+(0)</f>
        <v>78</v>
      </c>
      <c r="AN89" s="35">
        <v>78</v>
      </c>
      <c r="AO89" s="24">
        <f>+AK89+AL89+AM89-AN89</f>
        <v>0</v>
      </c>
      <c r="AP89" s="42">
        <f>+(0)+(0)+(108)+(0)+(96)+(0)</f>
        <v>204</v>
      </c>
      <c r="AQ89" s="42">
        <f>+(0)+(0)+(216)+(0)+(0)+(96)</f>
        <v>312</v>
      </c>
      <c r="AR89" s="68">
        <v>120</v>
      </c>
      <c r="AS89" s="71">
        <f t="shared" si="136"/>
        <v>396</v>
      </c>
      <c r="AT89" s="60">
        <f t="shared" si="127"/>
        <v>0</v>
      </c>
      <c r="AU89" s="60">
        <f>+(0)+(240)+(0)+(0)+(0)+(0)</f>
        <v>240</v>
      </c>
      <c r="AV89" s="94">
        <v>120</v>
      </c>
      <c r="AW89" s="71">
        <f t="shared" si="137"/>
        <v>516</v>
      </c>
      <c r="AX89" s="60">
        <f t="shared" si="115"/>
        <v>0</v>
      </c>
      <c r="AY89" s="113">
        <f>+(0)+(0)+(96)+(0)+(0)+(75.6)+(54.6)+(12)</f>
        <v>238.2</v>
      </c>
      <c r="AZ89" s="71">
        <v>120</v>
      </c>
      <c r="BA89" s="71">
        <f t="shared" si="105"/>
        <v>634.20000000000005</v>
      </c>
      <c r="BB89" s="135">
        <f t="shared" si="106"/>
        <v>0</v>
      </c>
      <c r="BC89" s="135">
        <f t="shared" si="116"/>
        <v>0</v>
      </c>
      <c r="BD89" s="50">
        <v>120</v>
      </c>
      <c r="BE89" s="50">
        <f t="shared" si="104"/>
        <v>514.20000000000005</v>
      </c>
      <c r="BG89" s="139">
        <v>0</v>
      </c>
      <c r="BH89" s="139">
        <v>0</v>
      </c>
      <c r="BI89" s="139">
        <v>0</v>
      </c>
      <c r="BJ89" s="139">
        <v>0</v>
      </c>
      <c r="BK89" s="139">
        <v>0</v>
      </c>
      <c r="BL89" s="139">
        <v>0</v>
      </c>
      <c r="BM89" s="139">
        <v>0</v>
      </c>
      <c r="BN89" s="139">
        <v>0</v>
      </c>
      <c r="BO89" s="139">
        <v>0</v>
      </c>
      <c r="BP89" s="139">
        <v>0</v>
      </c>
      <c r="BQ89" s="139">
        <v>0</v>
      </c>
      <c r="BR89" s="139">
        <v>0</v>
      </c>
      <c r="BS89" s="206">
        <v>120</v>
      </c>
      <c r="BT89" s="205">
        <f t="shared" si="112"/>
        <v>394.20000000000005</v>
      </c>
      <c r="BU89" s="153">
        <f t="shared" si="107"/>
        <v>840.6</v>
      </c>
    </row>
    <row r="90" spans="1:73" ht="25.8" thickBot="1" x14ac:dyDescent="0.65">
      <c r="A90" s="53">
        <v>82</v>
      </c>
      <c r="B90" s="143" t="s">
        <v>327</v>
      </c>
      <c r="C90" s="144" t="s">
        <v>165</v>
      </c>
      <c r="D90" s="145">
        <v>44221</v>
      </c>
      <c r="E90" s="146">
        <v>8</v>
      </c>
      <c r="F90" s="146">
        <f t="shared" si="124"/>
        <v>4266.6400000000003</v>
      </c>
      <c r="G90" s="146">
        <f t="shared" si="125"/>
        <v>1482</v>
      </c>
      <c r="H90" s="147">
        <f t="shared" si="126"/>
        <v>5748.64</v>
      </c>
      <c r="I90" s="148">
        <v>9</v>
      </c>
      <c r="J90" s="81">
        <v>9</v>
      </c>
      <c r="L90" s="149">
        <v>46511</v>
      </c>
      <c r="M90" s="150"/>
      <c r="N90" s="151" t="str">
        <f t="shared" ca="1" si="141"/>
        <v>O.K.</v>
      </c>
      <c r="Z90" s="3" t="s">
        <v>327</v>
      </c>
      <c r="AA90" s="36">
        <v>732</v>
      </c>
      <c r="AB90" s="34">
        <v>0</v>
      </c>
      <c r="AC90" s="35">
        <v>0</v>
      </c>
      <c r="AD90" s="35">
        <v>0</v>
      </c>
      <c r="AE90" s="35">
        <v>0</v>
      </c>
      <c r="AF90" s="24">
        <v>0</v>
      </c>
      <c r="AG90" s="21">
        <f>+AF90-AE90</f>
        <v>0</v>
      </c>
      <c r="AH90" s="42">
        <v>0</v>
      </c>
      <c r="AI90" s="42">
        <v>0</v>
      </c>
      <c r="AJ90" s="35">
        <v>0</v>
      </c>
      <c r="AK90" s="17">
        <f t="shared" si="144"/>
        <v>0</v>
      </c>
      <c r="AL90" s="42">
        <f>+(0)+(0)+(0)+(0)+(0)+(0)</f>
        <v>0</v>
      </c>
      <c r="AM90" s="42">
        <f>+(0)+(0)+(0)+(0)+(0)+(0)</f>
        <v>0</v>
      </c>
      <c r="AN90" s="35">
        <v>0</v>
      </c>
      <c r="AO90" s="65">
        <f t="shared" ref="AO90:AO101" si="145">+AK90+AL90+AM90-AN90</f>
        <v>0</v>
      </c>
      <c r="AP90" s="42">
        <f>+(0)+(0)+(0)+(78)+(0)+(0)</f>
        <v>78</v>
      </c>
      <c r="AQ90" s="42">
        <f>+(0)+(0)+(0)+(0)+(96)+(192)</f>
        <v>288</v>
      </c>
      <c r="AR90" s="68">
        <v>150</v>
      </c>
      <c r="AS90" s="71">
        <f t="shared" ref="AS90:AS168" si="146">+AO90+AP90+AQ90-AR90</f>
        <v>216</v>
      </c>
      <c r="AT90" s="60">
        <f>+(0)+(0)+(0)+(0)+(54)+(0)</f>
        <v>54</v>
      </c>
      <c r="AU90" s="60">
        <f>+(0)+(78)+(0)+(0)+(0)+(0)</f>
        <v>78</v>
      </c>
      <c r="AV90" s="94">
        <v>150</v>
      </c>
      <c r="AW90" s="71">
        <f t="shared" ref="AW90:AW168" si="147">+AS90+AT90+AU90-AV90</f>
        <v>198</v>
      </c>
      <c r="AX90" s="60">
        <f>+(0)+(78)+(0)+(216)</f>
        <v>294</v>
      </c>
      <c r="AY90" s="113">
        <f>+(0)+(0)+(0)+(0)+(0)+(0)+(0)+(60)</f>
        <v>60</v>
      </c>
      <c r="AZ90" s="71">
        <v>150</v>
      </c>
      <c r="BA90" s="71">
        <f t="shared" si="105"/>
        <v>402</v>
      </c>
      <c r="BB90" s="135">
        <f t="shared" si="106"/>
        <v>0</v>
      </c>
      <c r="BC90" s="135">
        <f t="shared" si="116"/>
        <v>0</v>
      </c>
      <c r="BD90" s="50">
        <v>150</v>
      </c>
      <c r="BE90" s="50">
        <f t="shared" si="104"/>
        <v>252</v>
      </c>
      <c r="BG90" s="139">
        <v>0</v>
      </c>
      <c r="BH90" s="139">
        <v>0</v>
      </c>
      <c r="BI90" s="139">
        <v>0</v>
      </c>
      <c r="BJ90" s="139">
        <v>0</v>
      </c>
      <c r="BK90" s="139">
        <v>0</v>
      </c>
      <c r="BL90" s="139">
        <v>0</v>
      </c>
      <c r="BM90" s="139">
        <v>0</v>
      </c>
      <c r="BN90" s="139">
        <v>0</v>
      </c>
      <c r="BO90" s="139">
        <v>0</v>
      </c>
      <c r="BP90" s="139">
        <v>0</v>
      </c>
      <c r="BQ90" s="139">
        <v>0</v>
      </c>
      <c r="BR90" s="139">
        <v>0</v>
      </c>
      <c r="BS90" s="206">
        <v>150</v>
      </c>
      <c r="BT90" s="205">
        <f t="shared" si="112"/>
        <v>102</v>
      </c>
      <c r="BU90" s="153">
        <f t="shared" si="107"/>
        <v>1482</v>
      </c>
    </row>
    <row r="91" spans="1:73" ht="25.8" thickBot="1" x14ac:dyDescent="0.65">
      <c r="A91" s="53">
        <v>83</v>
      </c>
      <c r="B91" s="99" t="s">
        <v>314</v>
      </c>
      <c r="C91" s="100" t="s">
        <v>166</v>
      </c>
      <c r="D91" s="108">
        <v>43891</v>
      </c>
      <c r="E91" s="109">
        <v>2</v>
      </c>
      <c r="F91" s="101">
        <f t="shared" si="124"/>
        <v>1066.6600000000001</v>
      </c>
      <c r="G91" s="101">
        <f>+BU91</f>
        <v>918</v>
      </c>
      <c r="H91" s="102">
        <f t="shared" si="126"/>
        <v>1984.66</v>
      </c>
      <c r="I91" s="103">
        <v>13</v>
      </c>
      <c r="J91" s="81">
        <v>13</v>
      </c>
      <c r="L91" s="106">
        <v>46082</v>
      </c>
      <c r="M91" s="107"/>
      <c r="N91" s="98" t="str">
        <f t="shared" ca="1" si="141"/>
        <v>O.K.</v>
      </c>
      <c r="Z91" s="3" t="s">
        <v>314</v>
      </c>
      <c r="AA91" s="37">
        <v>0</v>
      </c>
      <c r="AB91" s="34">
        <v>0</v>
      </c>
      <c r="AC91" s="35">
        <v>0</v>
      </c>
      <c r="AD91" s="35">
        <v>0</v>
      </c>
      <c r="AE91" s="35">
        <v>0</v>
      </c>
      <c r="AF91" s="24">
        <v>0</v>
      </c>
      <c r="AG91" s="21">
        <f>+AF91-AE91</f>
        <v>0</v>
      </c>
      <c r="AH91" s="42">
        <v>0</v>
      </c>
      <c r="AI91" s="42">
        <f>+(0)+(0)+(0)+(0)+(54)+(162)</f>
        <v>216</v>
      </c>
      <c r="AJ91" s="35">
        <v>150</v>
      </c>
      <c r="AK91" s="17">
        <f t="shared" si="144"/>
        <v>66</v>
      </c>
      <c r="AL91" s="42">
        <f>+(0)+(0)+(0)+(0)+(0)+(0)</f>
        <v>0</v>
      </c>
      <c r="AM91" s="42">
        <f>+(0)+(0)+(0)+(0)+(0)+(0)</f>
        <v>0</v>
      </c>
      <c r="AN91" s="35">
        <v>66</v>
      </c>
      <c r="AO91" s="24">
        <f t="shared" si="145"/>
        <v>0</v>
      </c>
      <c r="AP91" s="42">
        <f>+(0)+(192)+(78)+(0)+(30)+(0)</f>
        <v>300</v>
      </c>
      <c r="AQ91" s="42">
        <f>+(78)+(0)+(0)+(0)+(78)+(96)</f>
        <v>252</v>
      </c>
      <c r="AR91" s="68">
        <v>150</v>
      </c>
      <c r="AS91" s="71">
        <f t="shared" si="146"/>
        <v>402</v>
      </c>
      <c r="AT91" s="60">
        <f t="shared" si="127"/>
        <v>0</v>
      </c>
      <c r="AU91" s="60">
        <f t="shared" si="127"/>
        <v>0</v>
      </c>
      <c r="AV91" s="94">
        <v>150</v>
      </c>
      <c r="AW91" s="71">
        <f t="shared" si="147"/>
        <v>252</v>
      </c>
      <c r="AX91" s="60">
        <f t="shared" ref="AX91:AX404" si="148">+(0)+(0)+(0)+(0)</f>
        <v>0</v>
      </c>
      <c r="AY91" s="113">
        <f t="shared" ref="AY91:AY397" si="149">+(0)+(0)+(0)+(0)+(0)+(0)+(0)+(0)</f>
        <v>0</v>
      </c>
      <c r="AZ91" s="72">
        <v>150</v>
      </c>
      <c r="BA91" s="72">
        <f t="shared" si="105"/>
        <v>102</v>
      </c>
      <c r="BB91" s="135">
        <f t="shared" si="106"/>
        <v>0</v>
      </c>
      <c r="BC91" s="135">
        <f>+(0)+(0)+(0)+(96)+(54)+(0)+(0)+(0)</f>
        <v>150</v>
      </c>
      <c r="BD91" s="50">
        <v>150</v>
      </c>
      <c r="BE91" s="50">
        <f t="shared" si="104"/>
        <v>102</v>
      </c>
      <c r="BG91" s="139">
        <v>0</v>
      </c>
      <c r="BH91" s="139">
        <v>0</v>
      </c>
      <c r="BI91" s="139">
        <v>0</v>
      </c>
      <c r="BJ91" s="139">
        <v>0</v>
      </c>
      <c r="BK91" s="139">
        <v>0</v>
      </c>
      <c r="BL91" s="139">
        <v>0</v>
      </c>
      <c r="BM91" s="139">
        <v>0</v>
      </c>
      <c r="BN91" s="139">
        <v>0</v>
      </c>
      <c r="BO91" s="139">
        <v>0</v>
      </c>
      <c r="BP91" s="139">
        <v>0</v>
      </c>
      <c r="BQ91" s="139">
        <v>0</v>
      </c>
      <c r="BR91" s="139">
        <v>0</v>
      </c>
      <c r="BS91" s="206">
        <v>102</v>
      </c>
      <c r="BT91" s="205">
        <f t="shared" si="112"/>
        <v>0</v>
      </c>
      <c r="BU91" s="153">
        <f t="shared" si="107"/>
        <v>918</v>
      </c>
    </row>
    <row r="92" spans="1:73" ht="25.8" thickBot="1" x14ac:dyDescent="0.65">
      <c r="A92" s="53">
        <v>84</v>
      </c>
      <c r="B92" s="99" t="s">
        <v>240</v>
      </c>
      <c r="C92" s="100" t="s">
        <v>165</v>
      </c>
      <c r="D92" s="108">
        <v>43122</v>
      </c>
      <c r="E92" s="101">
        <v>3</v>
      </c>
      <c r="F92" s="101">
        <f t="shared" si="124"/>
        <v>1599.9900000000002</v>
      </c>
      <c r="G92" s="101">
        <f t="shared" si="125"/>
        <v>1332</v>
      </c>
      <c r="H92" s="102">
        <f t="shared" si="126"/>
        <v>2931.9900000000002</v>
      </c>
      <c r="I92" s="103">
        <v>12</v>
      </c>
      <c r="J92" s="81">
        <v>12</v>
      </c>
      <c r="L92" s="96">
        <v>46044</v>
      </c>
      <c r="M92" s="97"/>
      <c r="N92" s="98" t="str">
        <f t="shared" ca="1" si="141"/>
        <v>O.K.</v>
      </c>
      <c r="Z92" s="3" t="s">
        <v>240</v>
      </c>
      <c r="AA92" s="36">
        <v>0</v>
      </c>
      <c r="AB92" s="34">
        <v>0</v>
      </c>
      <c r="AC92" s="35">
        <v>0</v>
      </c>
      <c r="AD92" s="35">
        <v>132</v>
      </c>
      <c r="AE92" s="35">
        <v>150</v>
      </c>
      <c r="AF92" s="24">
        <v>499.2</v>
      </c>
      <c r="AG92" s="21">
        <f t="shared" ref="AG92:AG104" si="150">+AF92-AE92</f>
        <v>349.2</v>
      </c>
      <c r="AH92" s="42">
        <v>129.6</v>
      </c>
      <c r="AI92" s="42">
        <f>+(0)+(162)+(0)+(0)+(0)+(319.8)</f>
        <v>481.8</v>
      </c>
      <c r="AJ92" s="35">
        <v>150</v>
      </c>
      <c r="AK92" s="17">
        <f t="shared" si="144"/>
        <v>810.59999999999991</v>
      </c>
      <c r="AL92" s="42">
        <f>+(0)+(0)+(0)+(0)+(67.2)+(0)</f>
        <v>67.2</v>
      </c>
      <c r="AM92" s="42">
        <f>+(0)+(0)+(120)+(0)+(0)+(0)</f>
        <v>120</v>
      </c>
      <c r="AN92" s="35">
        <v>150</v>
      </c>
      <c r="AO92" s="24">
        <f t="shared" si="145"/>
        <v>847.8</v>
      </c>
      <c r="AP92" s="42">
        <f t="shared" ref="AP92:AQ404" si="151">+(0)+(0)+(0)+(0)+(0)+(0)</f>
        <v>0</v>
      </c>
      <c r="AQ92" s="42">
        <f>+(0)+(0)+(0)+(0)+(54)+(96)</f>
        <v>150</v>
      </c>
      <c r="AR92" s="68">
        <v>150</v>
      </c>
      <c r="AS92" s="71">
        <f t="shared" si="146"/>
        <v>847.8</v>
      </c>
      <c r="AT92" s="60">
        <f>+(108)+(0)+(0)+(108)+(108)+(108)</f>
        <v>432</v>
      </c>
      <c r="AU92" s="60">
        <f>+(0)+(30)+(0)+(0)+(0)+(0)</f>
        <v>30</v>
      </c>
      <c r="AV92" s="94">
        <v>150</v>
      </c>
      <c r="AW92" s="71">
        <f t="shared" si="147"/>
        <v>1159.8</v>
      </c>
      <c r="AX92" s="60">
        <f>+(78)+(54.6)+(0)+(270)</f>
        <v>402.6</v>
      </c>
      <c r="AY92" s="113">
        <f>+(0)+(0)+(174)+(0)+(0)+(0)+(0)+(30)</f>
        <v>204</v>
      </c>
      <c r="AZ92" s="71">
        <v>150</v>
      </c>
      <c r="BA92" s="71">
        <f>(+AW92+AX92+AY92)-AZ92</f>
        <v>1616.4</v>
      </c>
      <c r="BB92" s="135">
        <f t="shared" si="106"/>
        <v>0</v>
      </c>
      <c r="BC92" s="135">
        <f t="shared" si="116"/>
        <v>0</v>
      </c>
      <c r="BD92" s="50">
        <v>150</v>
      </c>
      <c r="BE92" s="50">
        <f t="shared" si="104"/>
        <v>1466.4</v>
      </c>
      <c r="BG92" s="139">
        <v>0</v>
      </c>
      <c r="BH92" s="139">
        <v>0</v>
      </c>
      <c r="BI92" s="139">
        <v>0</v>
      </c>
      <c r="BJ92" s="139">
        <v>0</v>
      </c>
      <c r="BK92" s="139">
        <v>0</v>
      </c>
      <c r="BL92" s="139">
        <v>0</v>
      </c>
      <c r="BM92" s="139">
        <v>0</v>
      </c>
      <c r="BN92" s="139">
        <v>0</v>
      </c>
      <c r="BO92" s="139">
        <v>0</v>
      </c>
      <c r="BP92" s="139">
        <v>0</v>
      </c>
      <c r="BQ92" s="139">
        <v>0</v>
      </c>
      <c r="BR92" s="139">
        <v>0</v>
      </c>
      <c r="BS92" s="206">
        <v>150</v>
      </c>
      <c r="BT92" s="205">
        <f t="shared" si="112"/>
        <v>1316.4</v>
      </c>
      <c r="BU92" s="153">
        <f t="shared" si="107"/>
        <v>1332</v>
      </c>
    </row>
    <row r="93" spans="1:73" ht="25.8" thickBot="1" x14ac:dyDescent="0.65">
      <c r="A93" s="53">
        <v>85</v>
      </c>
      <c r="B93" s="143" t="s">
        <v>388</v>
      </c>
      <c r="C93" s="144" t="s">
        <v>168</v>
      </c>
      <c r="D93" s="145">
        <v>44927</v>
      </c>
      <c r="E93" s="146">
        <v>2</v>
      </c>
      <c r="F93" s="146">
        <f t="shared" ref="F93" si="152">+E93*$C$1</f>
        <v>1066.6600000000001</v>
      </c>
      <c r="G93" s="146">
        <f t="shared" ref="G93" si="153">+BU93</f>
        <v>480</v>
      </c>
      <c r="H93" s="147">
        <f t="shared" ref="H93" si="154">+F93+G93</f>
        <v>1546.66</v>
      </c>
      <c r="I93" s="148">
        <v>13</v>
      </c>
      <c r="J93" s="81">
        <v>13</v>
      </c>
      <c r="L93" s="149">
        <v>46447</v>
      </c>
      <c r="M93" s="150"/>
      <c r="N93" s="151" t="str">
        <f t="shared" ca="1" si="141"/>
        <v>O.K.</v>
      </c>
      <c r="Z93" s="3" t="s">
        <v>388</v>
      </c>
      <c r="AA93" s="36">
        <v>0</v>
      </c>
      <c r="AB93" s="34">
        <v>0</v>
      </c>
      <c r="AC93" s="35">
        <v>0</v>
      </c>
      <c r="AD93" s="35">
        <v>0</v>
      </c>
      <c r="AE93" s="35">
        <v>0</v>
      </c>
      <c r="AF93" s="24">
        <v>0</v>
      </c>
      <c r="AG93" s="21">
        <f t="shared" si="150"/>
        <v>0</v>
      </c>
      <c r="AH93" s="42">
        <v>0</v>
      </c>
      <c r="AI93" s="42">
        <v>0</v>
      </c>
      <c r="AJ93" s="35">
        <v>0</v>
      </c>
      <c r="AK93" s="17">
        <f t="shared" si="144"/>
        <v>0</v>
      </c>
      <c r="AL93" s="42">
        <v>0</v>
      </c>
      <c r="AM93" s="42">
        <v>0</v>
      </c>
      <c r="AN93" s="35">
        <v>0</v>
      </c>
      <c r="AO93" s="24">
        <f t="shared" si="145"/>
        <v>0</v>
      </c>
      <c r="AP93" s="42">
        <v>0</v>
      </c>
      <c r="AQ93" s="42">
        <v>0</v>
      </c>
      <c r="AR93" s="68">
        <v>0</v>
      </c>
      <c r="AS93" s="71">
        <f t="shared" si="146"/>
        <v>0</v>
      </c>
      <c r="AT93" s="60">
        <f>+(0)+(0)+(0)+(0)+(54)+(120)</f>
        <v>174</v>
      </c>
      <c r="AU93" s="60">
        <f>+(120)+(174)+(0)+(0)+(0)+(0)</f>
        <v>294</v>
      </c>
      <c r="AV93" s="94">
        <v>120</v>
      </c>
      <c r="AW93" s="71">
        <f t="shared" si="147"/>
        <v>348</v>
      </c>
      <c r="AX93" s="60">
        <f>+(0)+(120)+(0)+(115.8)</f>
        <v>235.8</v>
      </c>
      <c r="AY93" s="113">
        <f>+(0)+(0)+(96)+(0)+(0)+(0)+(156)+(0)</f>
        <v>252</v>
      </c>
      <c r="AZ93" s="72">
        <v>120</v>
      </c>
      <c r="BA93" s="72">
        <f t="shared" ref="BA93:BA136" si="155">(+AW93+AX93+AY93)-AZ93</f>
        <v>715.8</v>
      </c>
      <c r="BB93" s="135">
        <f t="shared" si="106"/>
        <v>0</v>
      </c>
      <c r="BC93" s="135">
        <f>+(0)+(0)+(0)+(0)+(108)+(0)+(198)+(0)</f>
        <v>306</v>
      </c>
      <c r="BD93" s="50">
        <v>120</v>
      </c>
      <c r="BE93" s="50">
        <f t="shared" si="104"/>
        <v>901.8</v>
      </c>
      <c r="BG93" s="207">
        <v>54.6</v>
      </c>
      <c r="BH93" s="139">
        <v>0</v>
      </c>
      <c r="BI93" s="139">
        <v>0</v>
      </c>
      <c r="BJ93" s="139">
        <v>0</v>
      </c>
      <c r="BK93" s="139">
        <v>0</v>
      </c>
      <c r="BL93" s="139">
        <v>0</v>
      </c>
      <c r="BM93" s="139">
        <v>0</v>
      </c>
      <c r="BN93" s="139">
        <v>0</v>
      </c>
      <c r="BO93" s="139">
        <v>0</v>
      </c>
      <c r="BP93" s="139">
        <v>0</v>
      </c>
      <c r="BQ93" s="139">
        <v>0</v>
      </c>
      <c r="BR93" s="139">
        <v>0</v>
      </c>
      <c r="BS93" s="206">
        <v>120</v>
      </c>
      <c r="BT93" s="205">
        <f t="shared" si="112"/>
        <v>836.4</v>
      </c>
      <c r="BU93" s="153">
        <f t="shared" si="107"/>
        <v>480</v>
      </c>
    </row>
    <row r="94" spans="1:73" ht="25.8" thickBot="1" x14ac:dyDescent="0.65">
      <c r="A94" s="53">
        <v>86</v>
      </c>
      <c r="B94" s="83" t="s">
        <v>40</v>
      </c>
      <c r="C94" s="84" t="s">
        <v>162</v>
      </c>
      <c r="D94" s="83" t="s">
        <v>122</v>
      </c>
      <c r="E94" s="85">
        <v>15</v>
      </c>
      <c r="F94" s="85">
        <f t="shared" si="124"/>
        <v>7999.9500000000007</v>
      </c>
      <c r="G94" s="85">
        <f t="shared" si="125"/>
        <v>2963</v>
      </c>
      <c r="H94" s="86">
        <f t="shared" si="126"/>
        <v>10962.95</v>
      </c>
      <c r="I94" s="87">
        <v>1</v>
      </c>
      <c r="J94" s="81">
        <v>1</v>
      </c>
      <c r="L94" s="88"/>
      <c r="M94" s="89"/>
      <c r="N94" s="90" t="s">
        <v>170</v>
      </c>
      <c r="Z94" s="3" t="s">
        <v>40</v>
      </c>
      <c r="AA94" s="34">
        <v>2231</v>
      </c>
      <c r="AB94" s="34">
        <v>96</v>
      </c>
      <c r="AC94" s="35">
        <v>96</v>
      </c>
      <c r="AD94" s="35">
        <v>120</v>
      </c>
      <c r="AE94" s="35">
        <v>120</v>
      </c>
      <c r="AF94" s="24">
        <v>156</v>
      </c>
      <c r="AG94" s="21">
        <f t="shared" si="150"/>
        <v>36</v>
      </c>
      <c r="AH94" s="42">
        <v>0</v>
      </c>
      <c r="AI94" s="42">
        <f>+(0)+(0)+(0)+(0)+(54)+(54)</f>
        <v>108</v>
      </c>
      <c r="AJ94" s="35">
        <v>120</v>
      </c>
      <c r="AK94" s="17">
        <f t="shared" si="144"/>
        <v>24</v>
      </c>
      <c r="AL94" s="42">
        <f t="shared" ref="AL94:AL332" si="156">+(0)+(0)+(0)+(0)+(0)+(0)</f>
        <v>0</v>
      </c>
      <c r="AM94" s="42">
        <f>+(156)+(0)+(0)+(0)+(0)+(0)</f>
        <v>156</v>
      </c>
      <c r="AN94" s="35">
        <v>120</v>
      </c>
      <c r="AO94" s="24">
        <f t="shared" si="145"/>
        <v>60</v>
      </c>
      <c r="AP94" s="42">
        <f t="shared" si="151"/>
        <v>0</v>
      </c>
      <c r="AQ94" s="42">
        <f t="shared" si="151"/>
        <v>0</v>
      </c>
      <c r="AR94" s="68">
        <v>60</v>
      </c>
      <c r="AS94" s="71">
        <f t="shared" si="146"/>
        <v>0</v>
      </c>
      <c r="AT94" s="60">
        <f t="shared" si="127"/>
        <v>0</v>
      </c>
      <c r="AU94" s="60">
        <f t="shared" si="127"/>
        <v>0</v>
      </c>
      <c r="AV94" s="94">
        <v>0</v>
      </c>
      <c r="AW94" s="71">
        <f t="shared" si="147"/>
        <v>0</v>
      </c>
      <c r="AX94" s="60">
        <f t="shared" ref="AX94:AY397" si="157">+(0)+(0)+(0)+(0)</f>
        <v>0</v>
      </c>
      <c r="AY94" s="113">
        <f t="shared" si="149"/>
        <v>0</v>
      </c>
      <c r="AZ94" s="72">
        <v>0</v>
      </c>
      <c r="BA94" s="72">
        <f t="shared" si="155"/>
        <v>0</v>
      </c>
      <c r="BB94" s="135">
        <f t="shared" si="106"/>
        <v>0</v>
      </c>
      <c r="BC94" s="135">
        <f t="shared" si="116"/>
        <v>0</v>
      </c>
      <c r="BD94" s="50">
        <v>0</v>
      </c>
      <c r="BE94" s="50">
        <f t="shared" si="104"/>
        <v>0</v>
      </c>
      <c r="BG94" s="139">
        <v>0</v>
      </c>
      <c r="BH94" s="139">
        <v>0</v>
      </c>
      <c r="BI94" s="139">
        <v>0</v>
      </c>
      <c r="BJ94" s="139">
        <v>0</v>
      </c>
      <c r="BK94" s="139">
        <v>0</v>
      </c>
      <c r="BL94" s="139">
        <v>0</v>
      </c>
      <c r="BM94" s="139">
        <v>0</v>
      </c>
      <c r="BN94" s="139">
        <v>0</v>
      </c>
      <c r="BO94" s="139">
        <v>0</v>
      </c>
      <c r="BP94" s="139">
        <v>0</v>
      </c>
      <c r="BQ94" s="139">
        <v>0</v>
      </c>
      <c r="BR94" s="139">
        <v>0</v>
      </c>
      <c r="BS94" s="206">
        <v>0</v>
      </c>
      <c r="BT94" s="205">
        <f t="shared" si="112"/>
        <v>0</v>
      </c>
      <c r="BU94" s="153">
        <f t="shared" si="107"/>
        <v>2963</v>
      </c>
    </row>
    <row r="95" spans="1:73" ht="25.8" thickBot="1" x14ac:dyDescent="0.65">
      <c r="A95" s="53">
        <v>87</v>
      </c>
      <c r="B95" s="143" t="s">
        <v>241</v>
      </c>
      <c r="C95" s="144" t="s">
        <v>168</v>
      </c>
      <c r="D95" s="145">
        <v>43045</v>
      </c>
      <c r="E95" s="146">
        <v>4</v>
      </c>
      <c r="F95" s="146">
        <f t="shared" si="124"/>
        <v>2133.3200000000002</v>
      </c>
      <c r="G95" s="146">
        <f t="shared" si="125"/>
        <v>408</v>
      </c>
      <c r="H95" s="147">
        <f t="shared" si="126"/>
        <v>2541.3200000000002</v>
      </c>
      <c r="I95" s="148">
        <v>12</v>
      </c>
      <c r="J95" s="81">
        <v>12</v>
      </c>
      <c r="L95" s="149">
        <v>46697</v>
      </c>
      <c r="M95" s="150"/>
      <c r="N95" s="151" t="str">
        <f ca="1">IF($B$2&lt;L95,"O.K.","A L E R T A ")</f>
        <v>O.K.</v>
      </c>
      <c r="Z95" s="3" t="s">
        <v>241</v>
      </c>
      <c r="AA95" s="34">
        <v>0</v>
      </c>
      <c r="AB95" s="34">
        <v>0</v>
      </c>
      <c r="AC95" s="35">
        <v>0</v>
      </c>
      <c r="AD95" s="35">
        <v>120</v>
      </c>
      <c r="AE95" s="35">
        <v>78</v>
      </c>
      <c r="AF95" s="24">
        <v>78</v>
      </c>
      <c r="AG95" s="21">
        <f t="shared" si="150"/>
        <v>0</v>
      </c>
      <c r="AH95" s="42">
        <v>78</v>
      </c>
      <c r="AI95" s="42">
        <f>+(0)+(78)+(0)+(0)+(0)+(0)</f>
        <v>78</v>
      </c>
      <c r="AJ95" s="35">
        <v>120</v>
      </c>
      <c r="AK95" s="17">
        <f t="shared" si="144"/>
        <v>36</v>
      </c>
      <c r="AL95" s="42">
        <f t="shared" si="156"/>
        <v>0</v>
      </c>
      <c r="AM95" s="42">
        <f>+(0)+(0)+(0)+(0)+(0)+(0)</f>
        <v>0</v>
      </c>
      <c r="AN95" s="35">
        <v>36</v>
      </c>
      <c r="AO95" s="24">
        <f t="shared" si="145"/>
        <v>0</v>
      </c>
      <c r="AP95" s="42">
        <f t="shared" si="151"/>
        <v>0</v>
      </c>
      <c r="AQ95" s="42">
        <f t="shared" si="151"/>
        <v>0</v>
      </c>
      <c r="AR95" s="68">
        <v>0</v>
      </c>
      <c r="AS95" s="71">
        <f t="shared" si="146"/>
        <v>0</v>
      </c>
      <c r="AT95" s="60">
        <f>+(0)+(0)+(0)+(0)+(54)+(0)</f>
        <v>54</v>
      </c>
      <c r="AU95" s="60">
        <f t="shared" si="127"/>
        <v>0</v>
      </c>
      <c r="AV95" s="94">
        <v>54</v>
      </c>
      <c r="AW95" s="71">
        <f t="shared" si="147"/>
        <v>0</v>
      </c>
      <c r="AX95" s="60">
        <f t="shared" si="157"/>
        <v>0</v>
      </c>
      <c r="AY95" s="113">
        <f t="shared" si="149"/>
        <v>0</v>
      </c>
      <c r="AZ95" s="72">
        <v>0</v>
      </c>
      <c r="BA95" s="72">
        <f t="shared" si="155"/>
        <v>0</v>
      </c>
      <c r="BB95" s="135">
        <f t="shared" si="106"/>
        <v>0</v>
      </c>
      <c r="BC95" s="135">
        <f t="shared" si="116"/>
        <v>0</v>
      </c>
      <c r="BD95" s="50">
        <v>0</v>
      </c>
      <c r="BE95" s="50">
        <f t="shared" si="104"/>
        <v>0</v>
      </c>
      <c r="BG95" s="139">
        <v>0</v>
      </c>
      <c r="BH95" s="139">
        <v>0</v>
      </c>
      <c r="BI95" s="139">
        <v>0</v>
      </c>
      <c r="BJ95" s="139">
        <v>0</v>
      </c>
      <c r="BK95" s="139">
        <v>0</v>
      </c>
      <c r="BL95" s="139">
        <v>0</v>
      </c>
      <c r="BM95" s="139">
        <v>0</v>
      </c>
      <c r="BN95" s="139">
        <v>0</v>
      </c>
      <c r="BO95" s="139">
        <v>0</v>
      </c>
      <c r="BP95" s="139">
        <v>0</v>
      </c>
      <c r="BQ95" s="139">
        <v>0</v>
      </c>
      <c r="BR95" s="139">
        <v>0</v>
      </c>
      <c r="BS95" s="206">
        <v>0</v>
      </c>
      <c r="BT95" s="205">
        <f t="shared" si="112"/>
        <v>0</v>
      </c>
      <c r="BU95" s="153">
        <f t="shared" si="107"/>
        <v>408</v>
      </c>
    </row>
    <row r="96" spans="1:73" ht="25.8" thickBot="1" x14ac:dyDescent="0.65">
      <c r="A96" s="53">
        <v>88</v>
      </c>
      <c r="B96" s="83" t="s">
        <v>41</v>
      </c>
      <c r="C96" s="84" t="s">
        <v>165</v>
      </c>
      <c r="D96" s="83" t="s">
        <v>110</v>
      </c>
      <c r="E96" s="85">
        <v>15</v>
      </c>
      <c r="F96" s="85">
        <f t="shared" si="124"/>
        <v>7999.9500000000007</v>
      </c>
      <c r="G96" s="85">
        <f t="shared" si="125"/>
        <v>3212.6</v>
      </c>
      <c r="H96" s="86">
        <f t="shared" si="126"/>
        <v>11212.550000000001</v>
      </c>
      <c r="I96" s="87">
        <v>2</v>
      </c>
      <c r="J96" s="81">
        <v>2</v>
      </c>
      <c r="L96" s="88"/>
      <c r="M96" s="89"/>
      <c r="N96" s="90" t="s">
        <v>170</v>
      </c>
      <c r="Z96" s="3" t="s">
        <v>41</v>
      </c>
      <c r="AA96" s="34">
        <v>1982</v>
      </c>
      <c r="AB96" s="34">
        <v>150</v>
      </c>
      <c r="AC96" s="35">
        <v>96</v>
      </c>
      <c r="AD96" s="35">
        <v>150</v>
      </c>
      <c r="AE96" s="35">
        <v>78</v>
      </c>
      <c r="AF96" s="24">
        <v>78</v>
      </c>
      <c r="AG96" s="21">
        <f t="shared" si="150"/>
        <v>0</v>
      </c>
      <c r="AH96" s="42">
        <f>78+54</f>
        <v>132</v>
      </c>
      <c r="AI96" s="42">
        <f>+(0)+(0)+(54.6)+(0)+(0)+(54)</f>
        <v>108.6</v>
      </c>
      <c r="AJ96" s="35">
        <v>150</v>
      </c>
      <c r="AK96" s="17">
        <f t="shared" si="144"/>
        <v>90.6</v>
      </c>
      <c r="AL96" s="42">
        <f t="shared" si="156"/>
        <v>0</v>
      </c>
      <c r="AM96" s="42">
        <f>+(0)+(0)+(0)+(0)+(0)+(0)</f>
        <v>0</v>
      </c>
      <c r="AN96" s="35">
        <v>90.6</v>
      </c>
      <c r="AO96" s="24">
        <f t="shared" si="145"/>
        <v>0</v>
      </c>
      <c r="AP96" s="42">
        <f>+(0)+(0)+(0)+(0)+(0)+(0)</f>
        <v>0</v>
      </c>
      <c r="AQ96" s="42">
        <f>+(30)+(0)+(0)+(0)+(30)+(0)</f>
        <v>60</v>
      </c>
      <c r="AR96" s="68">
        <v>60</v>
      </c>
      <c r="AS96" s="71">
        <f t="shared" si="146"/>
        <v>0</v>
      </c>
      <c r="AT96" s="60">
        <f>+(0)+(0)+(0)+(78)+(54)+(0)</f>
        <v>132</v>
      </c>
      <c r="AU96" s="60">
        <f>+(0)+(108)+(0)+(0)+(0)+(0)</f>
        <v>108</v>
      </c>
      <c r="AV96" s="94">
        <v>150</v>
      </c>
      <c r="AW96" s="71">
        <f t="shared" si="147"/>
        <v>90</v>
      </c>
      <c r="AX96" s="60">
        <f>+(0)+(0)+(0)+(216)</f>
        <v>216</v>
      </c>
      <c r="AY96" s="113">
        <f t="shared" si="149"/>
        <v>0</v>
      </c>
      <c r="AZ96" s="72">
        <v>150</v>
      </c>
      <c r="BA96" s="72">
        <f t="shared" si="155"/>
        <v>156</v>
      </c>
      <c r="BB96" s="135">
        <f t="shared" si="106"/>
        <v>0</v>
      </c>
      <c r="BC96" s="135">
        <f t="shared" si="116"/>
        <v>0</v>
      </c>
      <c r="BD96" s="50">
        <v>150</v>
      </c>
      <c r="BE96" s="50">
        <f t="shared" si="104"/>
        <v>6</v>
      </c>
      <c r="BG96" s="139">
        <v>0</v>
      </c>
      <c r="BH96" s="139">
        <v>0</v>
      </c>
      <c r="BI96" s="139">
        <v>0</v>
      </c>
      <c r="BJ96" s="139">
        <v>0</v>
      </c>
      <c r="BK96" s="139">
        <v>0</v>
      </c>
      <c r="BL96" s="139">
        <v>0</v>
      </c>
      <c r="BM96" s="139">
        <v>0</v>
      </c>
      <c r="BN96" s="139">
        <v>0</v>
      </c>
      <c r="BO96" s="139">
        <v>0</v>
      </c>
      <c r="BP96" s="139">
        <v>0</v>
      </c>
      <c r="BQ96" s="139">
        <v>0</v>
      </c>
      <c r="BR96" s="139">
        <v>0</v>
      </c>
      <c r="BS96" s="206">
        <v>6</v>
      </c>
      <c r="BT96" s="205">
        <f t="shared" si="112"/>
        <v>0</v>
      </c>
      <c r="BU96" s="153">
        <f t="shared" si="107"/>
        <v>3212.6</v>
      </c>
    </row>
    <row r="97" spans="1:73" ht="25.8" thickBot="1" x14ac:dyDescent="0.65">
      <c r="A97" s="53">
        <v>89</v>
      </c>
      <c r="B97" s="99" t="s">
        <v>474</v>
      </c>
      <c r="C97" s="100" t="s">
        <v>166</v>
      </c>
      <c r="D97" s="108">
        <v>45317</v>
      </c>
      <c r="E97" s="101">
        <v>0</v>
      </c>
      <c r="F97" s="101">
        <f t="shared" ref="F97" si="158">+E97*$C$1</f>
        <v>0</v>
      </c>
      <c r="G97" s="101">
        <f t="shared" ref="G97" si="159">+BU97</f>
        <v>528</v>
      </c>
      <c r="H97" s="102">
        <f t="shared" ref="H97" si="160">+F97+G97</f>
        <v>528</v>
      </c>
      <c r="I97" s="103">
        <v>15</v>
      </c>
      <c r="J97" s="81">
        <v>15</v>
      </c>
      <c r="L97" s="96">
        <v>46048</v>
      </c>
      <c r="M97" s="97"/>
      <c r="N97" s="98" t="str">
        <f t="shared" ref="N97:N99" ca="1" si="161">IF($B$2&lt;L97,"O.K.","A L E R T A ")</f>
        <v>O.K.</v>
      </c>
      <c r="Z97" s="3" t="s">
        <v>438</v>
      </c>
      <c r="AA97" s="70">
        <v>78</v>
      </c>
      <c r="AB97" s="34">
        <v>0</v>
      </c>
      <c r="AC97" s="35">
        <v>0</v>
      </c>
      <c r="AD97" s="35">
        <v>0</v>
      </c>
      <c r="AE97" s="35">
        <v>0</v>
      </c>
      <c r="AF97" s="24">
        <v>0</v>
      </c>
      <c r="AG97" s="21">
        <f t="shared" si="150"/>
        <v>0</v>
      </c>
      <c r="AH97" s="42">
        <v>0</v>
      </c>
      <c r="AI97" s="42">
        <v>0</v>
      </c>
      <c r="AJ97" s="35">
        <v>0</v>
      </c>
      <c r="AK97" s="17">
        <f t="shared" si="144"/>
        <v>0</v>
      </c>
      <c r="AL97" s="42">
        <v>0</v>
      </c>
      <c r="AM97" s="42">
        <v>0</v>
      </c>
      <c r="AN97" s="35">
        <v>0</v>
      </c>
      <c r="AO97" s="24">
        <f t="shared" si="145"/>
        <v>0</v>
      </c>
      <c r="AP97" s="42">
        <v>0</v>
      </c>
      <c r="AQ97" s="42">
        <v>0</v>
      </c>
      <c r="AR97" s="68">
        <v>0</v>
      </c>
      <c r="AS97" s="71">
        <f t="shared" si="146"/>
        <v>0</v>
      </c>
      <c r="AT97" s="60">
        <v>0</v>
      </c>
      <c r="AU97" s="60">
        <v>0</v>
      </c>
      <c r="AV97" s="94">
        <v>0</v>
      </c>
      <c r="AW97" s="71">
        <f t="shared" si="147"/>
        <v>0</v>
      </c>
      <c r="AX97" s="60">
        <f t="shared" si="157"/>
        <v>0</v>
      </c>
      <c r="AY97" s="113">
        <f>+(0)+(0)+(0)+(0)+(54)+(108)+(78)+(0)</f>
        <v>240</v>
      </c>
      <c r="AZ97" s="72">
        <v>150</v>
      </c>
      <c r="BA97" s="72">
        <f t="shared" ref="BA97" si="162">(+AW97+AX97+AY97)-AZ97</f>
        <v>90</v>
      </c>
      <c r="BB97" s="135">
        <f>+(0)+(0)+(0)+(54)</f>
        <v>54</v>
      </c>
      <c r="BC97" s="135">
        <f>+(0)+(30)+(78)+(0)+(0)+(0)+(0)+(0)</f>
        <v>108</v>
      </c>
      <c r="BD97" s="50">
        <v>150</v>
      </c>
      <c r="BE97" s="50">
        <f t="shared" si="104"/>
        <v>102</v>
      </c>
      <c r="BG97" s="139">
        <v>0</v>
      </c>
      <c r="BH97" s="207">
        <v>85.2</v>
      </c>
      <c r="BI97" s="139">
        <v>0</v>
      </c>
      <c r="BJ97" s="139">
        <v>0</v>
      </c>
      <c r="BK97" s="139">
        <v>0</v>
      </c>
      <c r="BL97" s="139">
        <v>0</v>
      </c>
      <c r="BM97" s="139">
        <v>0</v>
      </c>
      <c r="BN97" s="139">
        <v>0</v>
      </c>
      <c r="BO97" s="139">
        <v>0</v>
      </c>
      <c r="BP97" s="139">
        <v>0</v>
      </c>
      <c r="BQ97" s="139">
        <v>0</v>
      </c>
      <c r="BR97" s="139">
        <v>0</v>
      </c>
      <c r="BS97" s="206">
        <v>150</v>
      </c>
      <c r="BT97" s="205">
        <f t="shared" si="112"/>
        <v>37.199999999999989</v>
      </c>
      <c r="BU97" s="153">
        <f t="shared" si="107"/>
        <v>528</v>
      </c>
    </row>
    <row r="98" spans="1:73" ht="25.8" thickBot="1" x14ac:dyDescent="0.65">
      <c r="A98" s="53">
        <v>90</v>
      </c>
      <c r="B98" s="143" t="s">
        <v>401</v>
      </c>
      <c r="C98" s="144" t="s">
        <v>165</v>
      </c>
      <c r="D98" s="145">
        <v>45019</v>
      </c>
      <c r="E98" s="146">
        <v>1</v>
      </c>
      <c r="F98" s="146">
        <f t="shared" ref="F98" si="163">+E98*$C$1</f>
        <v>533.33000000000004</v>
      </c>
      <c r="G98" s="146">
        <f t="shared" ref="G98" si="164">+BU98</f>
        <v>1176</v>
      </c>
      <c r="H98" s="147">
        <f t="shared" ref="H98" si="165">+F98+G98</f>
        <v>1709.33</v>
      </c>
      <c r="I98" s="148">
        <v>13</v>
      </c>
      <c r="J98" s="81">
        <v>13</v>
      </c>
      <c r="K98" s="208" t="s">
        <v>309</v>
      </c>
      <c r="L98" s="149">
        <v>46480</v>
      </c>
      <c r="M98" s="150"/>
      <c r="N98" s="151" t="str">
        <f ca="1">IF($B$2&lt;L98,"O.K.","A L E R T A ")</f>
        <v>O.K.</v>
      </c>
      <c r="Z98" s="3" t="s">
        <v>401</v>
      </c>
      <c r="AA98" s="70">
        <v>726</v>
      </c>
      <c r="AB98" s="34">
        <v>0</v>
      </c>
      <c r="AC98" s="35">
        <v>0</v>
      </c>
      <c r="AD98" s="35">
        <v>0</v>
      </c>
      <c r="AE98" s="35">
        <v>0</v>
      </c>
      <c r="AF98" s="24">
        <v>0</v>
      </c>
      <c r="AG98" s="21">
        <f t="shared" si="150"/>
        <v>0</v>
      </c>
      <c r="AH98" s="42">
        <v>0</v>
      </c>
      <c r="AI98" s="42">
        <v>0</v>
      </c>
      <c r="AJ98" s="35">
        <v>0</v>
      </c>
      <c r="AK98" s="17">
        <f t="shared" si="144"/>
        <v>0</v>
      </c>
      <c r="AL98" s="42">
        <v>0</v>
      </c>
      <c r="AM98" s="42">
        <v>0</v>
      </c>
      <c r="AN98" s="35">
        <v>0</v>
      </c>
      <c r="AO98" s="24">
        <f t="shared" si="145"/>
        <v>0</v>
      </c>
      <c r="AP98" s="42">
        <v>0</v>
      </c>
      <c r="AQ98" s="42">
        <v>0</v>
      </c>
      <c r="AR98" s="68">
        <v>0</v>
      </c>
      <c r="AS98" s="71">
        <f t="shared" si="146"/>
        <v>0</v>
      </c>
      <c r="AT98" s="60">
        <f t="shared" si="127"/>
        <v>0</v>
      </c>
      <c r="AU98" s="60">
        <f t="shared" si="127"/>
        <v>0</v>
      </c>
      <c r="AV98" s="94">
        <v>0</v>
      </c>
      <c r="AW98" s="71">
        <f t="shared" si="147"/>
        <v>0</v>
      </c>
      <c r="AX98" s="60">
        <f t="shared" si="157"/>
        <v>0</v>
      </c>
      <c r="AY98" s="113">
        <f>+(0)+(0)+(0)+(0)+(0)+(0)+(0)+(207)</f>
        <v>207</v>
      </c>
      <c r="AZ98" s="71">
        <v>150</v>
      </c>
      <c r="BA98" s="71">
        <f t="shared" si="155"/>
        <v>57</v>
      </c>
      <c r="BB98" s="135">
        <f t="shared" si="106"/>
        <v>0</v>
      </c>
      <c r="BC98" s="135">
        <f>+(0)+(67.2)+(252)+(0)+(120)+(0)+(0)+(0)</f>
        <v>439.2</v>
      </c>
      <c r="BD98" s="50">
        <v>150</v>
      </c>
      <c r="BE98" s="50">
        <f t="shared" si="104"/>
        <v>346.2</v>
      </c>
      <c r="BG98" s="139">
        <v>0</v>
      </c>
      <c r="BH98" s="139">
        <v>0</v>
      </c>
      <c r="BI98" s="139">
        <v>0</v>
      </c>
      <c r="BJ98" s="139">
        <v>0</v>
      </c>
      <c r="BK98" s="139">
        <v>0</v>
      </c>
      <c r="BL98" s="139">
        <v>0</v>
      </c>
      <c r="BM98" s="139">
        <v>0</v>
      </c>
      <c r="BN98" s="139">
        <v>0</v>
      </c>
      <c r="BO98" s="139">
        <v>0</v>
      </c>
      <c r="BP98" s="139">
        <v>0</v>
      </c>
      <c r="BQ98" s="139">
        <v>0</v>
      </c>
      <c r="BR98" s="139">
        <v>0</v>
      </c>
      <c r="BS98" s="206">
        <v>150</v>
      </c>
      <c r="BT98" s="205">
        <f t="shared" si="112"/>
        <v>196.2</v>
      </c>
      <c r="BU98" s="153">
        <f t="shared" si="107"/>
        <v>1176</v>
      </c>
    </row>
    <row r="99" spans="1:73" ht="25.8" thickBot="1" x14ac:dyDescent="0.65">
      <c r="A99" s="53">
        <v>91</v>
      </c>
      <c r="B99" s="99" t="s">
        <v>458</v>
      </c>
      <c r="C99" s="100" t="s">
        <v>165</v>
      </c>
      <c r="D99" s="108">
        <v>45470</v>
      </c>
      <c r="E99" s="101">
        <v>0</v>
      </c>
      <c r="F99" s="101">
        <f t="shared" ref="F99" si="166">+E99*$C$1</f>
        <v>0</v>
      </c>
      <c r="G99" s="101">
        <f t="shared" ref="G99" si="167">+BU99</f>
        <v>216</v>
      </c>
      <c r="H99" s="102">
        <f t="shared" ref="H99" si="168">+F99+G99</f>
        <v>216</v>
      </c>
      <c r="I99" s="103">
        <v>15</v>
      </c>
      <c r="J99" s="81">
        <v>15</v>
      </c>
      <c r="L99" s="122">
        <v>46200</v>
      </c>
      <c r="M99" s="97"/>
      <c r="N99" s="98" t="str">
        <f t="shared" ca="1" si="161"/>
        <v>O.K.</v>
      </c>
      <c r="Z99" s="3" t="s">
        <v>458</v>
      </c>
      <c r="AA99" s="34"/>
      <c r="AB99" s="34"/>
      <c r="AC99" s="35"/>
      <c r="AD99" s="35"/>
      <c r="AE99" s="35"/>
      <c r="AF99" s="24"/>
      <c r="AG99" s="21"/>
      <c r="AH99" s="42"/>
      <c r="AI99" s="42"/>
      <c r="AJ99" s="35"/>
      <c r="AK99" s="17"/>
      <c r="AL99" s="42"/>
      <c r="AM99" s="42"/>
      <c r="AN99" s="35"/>
      <c r="AO99" s="24"/>
      <c r="AP99" s="42"/>
      <c r="AQ99" s="42"/>
      <c r="AR99" s="68"/>
      <c r="AS99" s="71"/>
      <c r="AT99" s="60"/>
      <c r="AU99" s="60"/>
      <c r="AV99" s="94"/>
      <c r="AW99" s="71"/>
      <c r="AX99" s="60"/>
      <c r="AY99" s="113"/>
      <c r="AZ99" s="72"/>
      <c r="BA99" s="72"/>
      <c r="BB99" s="135">
        <f>+(0)+(0)+(0)+(54)</f>
        <v>54</v>
      </c>
      <c r="BC99" s="135">
        <f>+(0)+(0)+(78)+(0)+(0)+(0)+(0)+(84)</f>
        <v>162</v>
      </c>
      <c r="BD99" s="50">
        <v>150</v>
      </c>
      <c r="BE99" s="50">
        <f t="shared" ref="BE99:BE130" si="169">(BA99+BB99+BC99)-BD99</f>
        <v>66</v>
      </c>
      <c r="BG99" s="139">
        <v>0</v>
      </c>
      <c r="BH99" s="139">
        <v>0</v>
      </c>
      <c r="BI99" s="139">
        <v>0</v>
      </c>
      <c r="BJ99" s="139">
        <v>0</v>
      </c>
      <c r="BK99" s="139">
        <v>0</v>
      </c>
      <c r="BL99" s="139">
        <v>0</v>
      </c>
      <c r="BM99" s="139">
        <v>0</v>
      </c>
      <c r="BN99" s="139">
        <v>0</v>
      </c>
      <c r="BO99" s="139">
        <v>0</v>
      </c>
      <c r="BP99" s="139">
        <v>0</v>
      </c>
      <c r="BQ99" s="139">
        <v>0</v>
      </c>
      <c r="BR99" s="139">
        <v>0</v>
      </c>
      <c r="BS99" s="206">
        <v>66</v>
      </c>
      <c r="BT99" s="205">
        <f t="shared" si="112"/>
        <v>0</v>
      </c>
      <c r="BU99" s="153">
        <f t="shared" si="107"/>
        <v>216</v>
      </c>
    </row>
    <row r="100" spans="1:73" ht="25.8" thickBot="1" x14ac:dyDescent="0.65">
      <c r="A100" s="53">
        <v>92</v>
      </c>
      <c r="B100" s="143" t="s">
        <v>345</v>
      </c>
      <c r="C100" s="144" t="s">
        <v>168</v>
      </c>
      <c r="D100" s="145">
        <v>44409</v>
      </c>
      <c r="E100" s="146">
        <v>2</v>
      </c>
      <c r="F100" s="146">
        <f t="shared" si="124"/>
        <v>1066.6600000000001</v>
      </c>
      <c r="G100" s="146">
        <f t="shared" si="125"/>
        <v>600</v>
      </c>
      <c r="H100" s="147">
        <f t="shared" si="126"/>
        <v>1666.66</v>
      </c>
      <c r="I100" s="148">
        <v>13</v>
      </c>
      <c r="J100" s="81">
        <v>13</v>
      </c>
      <c r="L100" s="149">
        <v>46419</v>
      </c>
      <c r="M100" s="150"/>
      <c r="N100" s="151" t="str">
        <f t="shared" ref="N100" ca="1" si="170">IF($B$2&lt;L100,"O.K.","A L E R T A ")</f>
        <v>O.K.</v>
      </c>
      <c r="Z100" s="3" t="s">
        <v>345</v>
      </c>
      <c r="AA100" s="34">
        <v>0</v>
      </c>
      <c r="AB100" s="34">
        <v>0</v>
      </c>
      <c r="AC100" s="35">
        <v>0</v>
      </c>
      <c r="AD100" s="35">
        <v>0</v>
      </c>
      <c r="AE100" s="35">
        <v>0</v>
      </c>
      <c r="AF100" s="24">
        <v>0</v>
      </c>
      <c r="AG100" s="21">
        <f t="shared" si="150"/>
        <v>0</v>
      </c>
      <c r="AH100" s="42">
        <v>0</v>
      </c>
      <c r="AI100" s="42">
        <v>0</v>
      </c>
      <c r="AJ100" s="35">
        <v>0</v>
      </c>
      <c r="AK100" s="17">
        <f t="shared" si="144"/>
        <v>0</v>
      </c>
      <c r="AL100" s="42">
        <f t="shared" si="156"/>
        <v>0</v>
      </c>
      <c r="AM100" s="42">
        <f>+(0)+(0)+(0)+(0)+(0)+(0)</f>
        <v>0</v>
      </c>
      <c r="AN100" s="35">
        <v>0</v>
      </c>
      <c r="AO100" s="24">
        <f t="shared" si="145"/>
        <v>0</v>
      </c>
      <c r="AP100" s="42">
        <f>+(0)+(0)+(0)+(0)+(0)+(0)</f>
        <v>0</v>
      </c>
      <c r="AQ100" s="42">
        <f>+(0)+(0)+(0)+(0)+(0)+(264)</f>
        <v>264</v>
      </c>
      <c r="AR100" s="68">
        <v>120</v>
      </c>
      <c r="AS100" s="71">
        <f t="shared" si="146"/>
        <v>144</v>
      </c>
      <c r="AT100" s="60">
        <f>+(0)+(0)+(0)+(0)+(54)+(0)</f>
        <v>54</v>
      </c>
      <c r="AU100" s="60">
        <f>+(0)+(108)+(0)+(0)+(0)+(0)</f>
        <v>108</v>
      </c>
      <c r="AV100" s="94">
        <v>120</v>
      </c>
      <c r="AW100" s="71">
        <f t="shared" si="147"/>
        <v>186</v>
      </c>
      <c r="AX100" s="60">
        <f>+(0)+(54)+(0)+(0)</f>
        <v>54</v>
      </c>
      <c r="AY100" s="113">
        <f>+(0)+(0)+(0)+(0)+(0)+(78)+(264)+(0)</f>
        <v>342</v>
      </c>
      <c r="AZ100" s="72">
        <v>120</v>
      </c>
      <c r="BA100" s="72">
        <f t="shared" si="155"/>
        <v>462</v>
      </c>
      <c r="BB100" s="135">
        <f>+(0)+(0)+(0)+(54)</f>
        <v>54</v>
      </c>
      <c r="BC100" s="135">
        <f>+(0)+(0)+(0)+(0)+(0)+(54.6)+(78)+(0)</f>
        <v>132.6</v>
      </c>
      <c r="BD100" s="50">
        <v>120</v>
      </c>
      <c r="BE100" s="50">
        <f t="shared" si="169"/>
        <v>528.6</v>
      </c>
      <c r="BG100" s="139">
        <v>0</v>
      </c>
      <c r="BH100" s="139">
        <v>0</v>
      </c>
      <c r="BI100" s="139">
        <v>0</v>
      </c>
      <c r="BJ100" s="139">
        <v>0</v>
      </c>
      <c r="BK100" s="139">
        <v>0</v>
      </c>
      <c r="BL100" s="139">
        <v>0</v>
      </c>
      <c r="BM100" s="139">
        <v>0</v>
      </c>
      <c r="BN100" s="139">
        <v>0</v>
      </c>
      <c r="BO100" s="139">
        <v>0</v>
      </c>
      <c r="BP100" s="139">
        <v>0</v>
      </c>
      <c r="BQ100" s="139">
        <v>0</v>
      </c>
      <c r="BR100" s="139">
        <v>0</v>
      </c>
      <c r="BS100" s="206">
        <v>120</v>
      </c>
      <c r="BT100" s="205">
        <f t="shared" si="112"/>
        <v>408.6</v>
      </c>
      <c r="BU100" s="153">
        <f t="shared" si="107"/>
        <v>600</v>
      </c>
    </row>
    <row r="101" spans="1:73" ht="25.8" thickBot="1" x14ac:dyDescent="0.65">
      <c r="A101" s="53">
        <v>93</v>
      </c>
      <c r="B101" s="83" t="s">
        <v>42</v>
      </c>
      <c r="C101" s="84" t="s">
        <v>168</v>
      </c>
      <c r="D101" s="83" t="s">
        <v>123</v>
      </c>
      <c r="E101" s="85">
        <v>15</v>
      </c>
      <c r="F101" s="85">
        <f t="shared" si="124"/>
        <v>7999.9500000000007</v>
      </c>
      <c r="G101" s="85">
        <f t="shared" si="125"/>
        <v>2742</v>
      </c>
      <c r="H101" s="86">
        <f t="shared" si="126"/>
        <v>10741.95</v>
      </c>
      <c r="I101" s="87">
        <v>2</v>
      </c>
      <c r="J101" s="81">
        <v>2</v>
      </c>
      <c r="L101" s="88"/>
      <c r="M101" s="89"/>
      <c r="N101" s="90" t="s">
        <v>170</v>
      </c>
      <c r="Z101" s="3" t="s">
        <v>42</v>
      </c>
      <c r="AA101" s="34">
        <v>1446</v>
      </c>
      <c r="AB101" s="34">
        <v>96</v>
      </c>
      <c r="AC101" s="35">
        <v>120</v>
      </c>
      <c r="AD101" s="35">
        <v>120</v>
      </c>
      <c r="AE101" s="35">
        <v>120</v>
      </c>
      <c r="AF101" s="24">
        <v>156</v>
      </c>
      <c r="AG101" s="21">
        <f t="shared" si="150"/>
        <v>36</v>
      </c>
      <c r="AH101" s="42">
        <v>186</v>
      </c>
      <c r="AI101" s="42">
        <f>+(0)+(0)+(0)+(108)+(0)+(54)</f>
        <v>162</v>
      </c>
      <c r="AJ101" s="35">
        <v>120</v>
      </c>
      <c r="AK101" s="17">
        <f t="shared" si="144"/>
        <v>264</v>
      </c>
      <c r="AL101" s="42">
        <f t="shared" si="156"/>
        <v>0</v>
      </c>
      <c r="AM101" s="42">
        <f>+(0)+(0)+(0)+(0)+(0)+(0)</f>
        <v>0</v>
      </c>
      <c r="AN101" s="35">
        <v>120</v>
      </c>
      <c r="AO101" s="24">
        <f t="shared" si="145"/>
        <v>144</v>
      </c>
      <c r="AP101" s="42">
        <f>+(0)+(108)+(0)+(0)+(0)+(0)</f>
        <v>108</v>
      </c>
      <c r="AQ101" s="42">
        <f>+(78)+(0)+(0)+(0)+(30)+(0)</f>
        <v>108</v>
      </c>
      <c r="AR101" s="68">
        <v>120</v>
      </c>
      <c r="AS101" s="71">
        <f t="shared" si="146"/>
        <v>240</v>
      </c>
      <c r="AT101" s="60">
        <f>+(0)+(0)+(0)+(0)+(54)+(54)</f>
        <v>108</v>
      </c>
      <c r="AU101" s="60">
        <f>+(0)+(54)+(0)+(0)+(0)+(0)</f>
        <v>54</v>
      </c>
      <c r="AV101" s="94">
        <v>120</v>
      </c>
      <c r="AW101" s="71">
        <f t="shared" si="147"/>
        <v>282</v>
      </c>
      <c r="AX101" s="60">
        <f>+(0)+(0)+(108)+(108)</f>
        <v>216</v>
      </c>
      <c r="AY101" s="113">
        <f>+(0)+(0)+(96)+(0)+(0)+(0)+(108)+(30)</f>
        <v>234</v>
      </c>
      <c r="AZ101" s="71">
        <v>120</v>
      </c>
      <c r="BA101" s="71">
        <f t="shared" si="155"/>
        <v>612</v>
      </c>
      <c r="BB101" s="135">
        <f>+(0)+(0)+(0)+(54)</f>
        <v>54</v>
      </c>
      <c r="BC101" s="135">
        <f>+(0)+(0)+(0)+(216)+(0)+(0)+(108)+(78)</f>
        <v>402</v>
      </c>
      <c r="BD101" s="50">
        <v>120</v>
      </c>
      <c r="BE101" s="50">
        <f t="shared" si="169"/>
        <v>948</v>
      </c>
      <c r="BG101" s="139">
        <v>0</v>
      </c>
      <c r="BH101" s="139">
        <v>0</v>
      </c>
      <c r="BI101" s="139">
        <v>0</v>
      </c>
      <c r="BJ101" s="139">
        <v>0</v>
      </c>
      <c r="BK101" s="139">
        <v>0</v>
      </c>
      <c r="BL101" s="139">
        <v>0</v>
      </c>
      <c r="BM101" s="139">
        <v>0</v>
      </c>
      <c r="BN101" s="139">
        <v>0</v>
      </c>
      <c r="BO101" s="139">
        <v>0</v>
      </c>
      <c r="BP101" s="139">
        <v>0</v>
      </c>
      <c r="BQ101" s="139">
        <v>0</v>
      </c>
      <c r="BR101" s="139">
        <v>0</v>
      </c>
      <c r="BS101" s="206">
        <v>120</v>
      </c>
      <c r="BT101" s="205">
        <f t="shared" si="112"/>
        <v>828</v>
      </c>
      <c r="BU101" s="153">
        <f t="shared" si="107"/>
        <v>2742</v>
      </c>
    </row>
    <row r="102" spans="1:73" ht="25.8" thickBot="1" x14ac:dyDescent="0.65">
      <c r="A102" s="53">
        <v>94</v>
      </c>
      <c r="B102" s="83" t="s">
        <v>43</v>
      </c>
      <c r="C102" s="84" t="s">
        <v>165</v>
      </c>
      <c r="D102" s="83" t="s">
        <v>124</v>
      </c>
      <c r="E102" s="85">
        <v>15</v>
      </c>
      <c r="F102" s="85">
        <f t="shared" si="124"/>
        <v>7999.9500000000007</v>
      </c>
      <c r="G102" s="85">
        <f t="shared" si="125"/>
        <v>4005.6000000000004</v>
      </c>
      <c r="H102" s="86">
        <f t="shared" si="126"/>
        <v>12005.550000000001</v>
      </c>
      <c r="I102" s="87">
        <v>1</v>
      </c>
      <c r="J102" s="81">
        <v>1</v>
      </c>
      <c r="L102" s="88"/>
      <c r="M102" s="89"/>
      <c r="N102" s="90" t="s">
        <v>170</v>
      </c>
      <c r="Z102" s="3" t="s">
        <v>43</v>
      </c>
      <c r="AA102" s="34">
        <v>2526</v>
      </c>
      <c r="AB102" s="34">
        <v>150</v>
      </c>
      <c r="AC102" s="35">
        <v>145.80000000000001</v>
      </c>
      <c r="AD102" s="35">
        <v>96</v>
      </c>
      <c r="AE102" s="35">
        <v>150</v>
      </c>
      <c r="AF102" s="24">
        <v>229.8</v>
      </c>
      <c r="AG102" s="21">
        <f t="shared" si="150"/>
        <v>79.800000000000011</v>
      </c>
      <c r="AH102" s="42">
        <v>78</v>
      </c>
      <c r="AI102" s="42">
        <f>+(0)+(120)+(0)+(0)+(0)+(162)</f>
        <v>282</v>
      </c>
      <c r="AJ102" s="35">
        <v>150</v>
      </c>
      <c r="AK102" s="17">
        <f t="shared" si="144"/>
        <v>289.8</v>
      </c>
      <c r="AL102" s="42">
        <f t="shared" si="156"/>
        <v>0</v>
      </c>
      <c r="AM102" s="42">
        <f>+(186)+(0)+(0)+(0)+(0)+(0)</f>
        <v>186</v>
      </c>
      <c r="AN102" s="35">
        <v>150</v>
      </c>
      <c r="AO102" s="24">
        <f t="shared" ref="AO102:AO181" si="171">+AK102+AL102+AM102-AN102</f>
        <v>325.8</v>
      </c>
      <c r="AP102" s="42">
        <f t="shared" ref="AP102:AQ335" si="172">+(0)+(0)+(0)+(0)+(0)+(0)</f>
        <v>0</v>
      </c>
      <c r="AQ102" s="42">
        <f t="shared" si="172"/>
        <v>0</v>
      </c>
      <c r="AR102" s="68">
        <v>150</v>
      </c>
      <c r="AS102" s="71">
        <f t="shared" si="146"/>
        <v>175.8</v>
      </c>
      <c r="AT102" s="60">
        <f>+(108)+(0)+(0)+(0)+(54)+(0)</f>
        <v>162</v>
      </c>
      <c r="AU102" s="60">
        <f t="shared" si="127"/>
        <v>0</v>
      </c>
      <c r="AV102" s="94">
        <v>150</v>
      </c>
      <c r="AW102" s="71">
        <f t="shared" si="147"/>
        <v>187.8</v>
      </c>
      <c r="AX102" s="60">
        <f t="shared" si="157"/>
        <v>0</v>
      </c>
      <c r="AY102" s="113">
        <f t="shared" si="149"/>
        <v>0</v>
      </c>
      <c r="AZ102" s="72">
        <v>150</v>
      </c>
      <c r="BA102" s="72">
        <f t="shared" si="155"/>
        <v>37.800000000000011</v>
      </c>
      <c r="BB102" s="135">
        <f t="shared" si="106"/>
        <v>0</v>
      </c>
      <c r="BC102" s="135">
        <f>+(0)+(150)+(0)+(0)+(0)+(0)+(0)+(0)</f>
        <v>150</v>
      </c>
      <c r="BD102" s="50">
        <v>150</v>
      </c>
      <c r="BE102" s="50">
        <f t="shared" si="169"/>
        <v>37.800000000000011</v>
      </c>
      <c r="BG102" s="139">
        <v>0</v>
      </c>
      <c r="BH102" s="139">
        <v>0</v>
      </c>
      <c r="BI102" s="139">
        <v>0</v>
      </c>
      <c r="BJ102" s="139">
        <v>0</v>
      </c>
      <c r="BK102" s="139">
        <v>0</v>
      </c>
      <c r="BL102" s="139">
        <v>0</v>
      </c>
      <c r="BM102" s="139">
        <v>0</v>
      </c>
      <c r="BN102" s="139">
        <v>0</v>
      </c>
      <c r="BO102" s="139">
        <v>0</v>
      </c>
      <c r="BP102" s="139">
        <v>0</v>
      </c>
      <c r="BQ102" s="139">
        <v>0</v>
      </c>
      <c r="BR102" s="139">
        <v>0</v>
      </c>
      <c r="BS102" s="206">
        <v>37.799999999999997</v>
      </c>
      <c r="BT102" s="205">
        <f t="shared" si="112"/>
        <v>0</v>
      </c>
      <c r="BU102" s="153">
        <f t="shared" si="107"/>
        <v>4005.6000000000004</v>
      </c>
    </row>
    <row r="103" spans="1:73" ht="25.8" thickBot="1" x14ac:dyDescent="0.65">
      <c r="A103" s="53">
        <v>95</v>
      </c>
      <c r="B103" s="99" t="s">
        <v>282</v>
      </c>
      <c r="C103" s="100" t="s">
        <v>168</v>
      </c>
      <c r="D103" s="108">
        <v>43340</v>
      </c>
      <c r="E103" s="101">
        <v>4</v>
      </c>
      <c r="F103" s="101">
        <f t="shared" si="124"/>
        <v>2133.3200000000002</v>
      </c>
      <c r="G103" s="101">
        <f t="shared" si="125"/>
        <v>960</v>
      </c>
      <c r="H103" s="102">
        <f t="shared" si="126"/>
        <v>3093.32</v>
      </c>
      <c r="I103" s="103">
        <v>11</v>
      </c>
      <c r="J103" s="81">
        <v>11</v>
      </c>
      <c r="K103" s="208" t="s">
        <v>309</v>
      </c>
      <c r="L103" s="96">
        <v>46343</v>
      </c>
      <c r="M103" s="97"/>
      <c r="N103" s="98" t="str">
        <f t="shared" ref="N103:N120" ca="1" si="173">IF($B$2&lt;L103,"O.K.","A L E R T A ")</f>
        <v>O.K.</v>
      </c>
      <c r="Z103" s="3" t="s">
        <v>282</v>
      </c>
      <c r="AA103" s="34">
        <v>0</v>
      </c>
      <c r="AB103" s="34">
        <v>0</v>
      </c>
      <c r="AC103" s="35">
        <v>0</v>
      </c>
      <c r="AD103" s="35">
        <v>0</v>
      </c>
      <c r="AE103" s="35">
        <v>120</v>
      </c>
      <c r="AF103" s="24">
        <v>156</v>
      </c>
      <c r="AG103" s="21">
        <f t="shared" si="150"/>
        <v>36</v>
      </c>
      <c r="AH103" s="42">
        <v>0</v>
      </c>
      <c r="AI103" s="42">
        <f>+(0)+(132)+(0)+(0)+(54)+(237.6)</f>
        <v>423.6</v>
      </c>
      <c r="AJ103" s="35">
        <v>120</v>
      </c>
      <c r="AK103" s="17">
        <f t="shared" si="144"/>
        <v>339.6</v>
      </c>
      <c r="AL103" s="42">
        <f>+(0)+(0)+(0)+(0)+(0)+(156)</f>
        <v>156</v>
      </c>
      <c r="AM103" s="42">
        <f>+(0)+(216)+(0)+(0)+(0)+(0)</f>
        <v>216</v>
      </c>
      <c r="AN103" s="35">
        <v>120</v>
      </c>
      <c r="AO103" s="24">
        <f t="shared" si="171"/>
        <v>591.6</v>
      </c>
      <c r="AP103" s="42">
        <f t="shared" si="172"/>
        <v>0</v>
      </c>
      <c r="AQ103" s="42">
        <f t="shared" si="172"/>
        <v>0</v>
      </c>
      <c r="AR103" s="68">
        <v>120</v>
      </c>
      <c r="AS103" s="71">
        <f t="shared" si="146"/>
        <v>471.6</v>
      </c>
      <c r="AT103" s="60">
        <f>+(0)+(0)+(0)+(0)+(54)+(0)</f>
        <v>54</v>
      </c>
      <c r="AU103" s="60">
        <f t="shared" si="127"/>
        <v>0</v>
      </c>
      <c r="AV103" s="94">
        <v>120</v>
      </c>
      <c r="AW103" s="71">
        <f t="shared" si="147"/>
        <v>405.6</v>
      </c>
      <c r="AX103" s="60">
        <f t="shared" si="157"/>
        <v>0</v>
      </c>
      <c r="AY103" s="113">
        <f t="shared" si="149"/>
        <v>0</v>
      </c>
      <c r="AZ103" s="72">
        <v>120</v>
      </c>
      <c r="BA103" s="72">
        <f t="shared" si="155"/>
        <v>285.60000000000002</v>
      </c>
      <c r="BB103" s="135">
        <f t="shared" si="106"/>
        <v>0</v>
      </c>
      <c r="BC103" s="135">
        <f>+(0)+(0)+(0)+(78)+(54)+(0)+(0)+(0)</f>
        <v>132</v>
      </c>
      <c r="BD103" s="50">
        <v>120</v>
      </c>
      <c r="BE103" s="50">
        <f t="shared" si="169"/>
        <v>297.60000000000002</v>
      </c>
      <c r="BG103" s="139">
        <v>0</v>
      </c>
      <c r="BH103" s="139">
        <v>0</v>
      </c>
      <c r="BI103" s="139">
        <v>0</v>
      </c>
      <c r="BJ103" s="139">
        <v>0</v>
      </c>
      <c r="BK103" s="139">
        <v>0</v>
      </c>
      <c r="BL103" s="139">
        <v>0</v>
      </c>
      <c r="BM103" s="139">
        <v>0</v>
      </c>
      <c r="BN103" s="139">
        <v>0</v>
      </c>
      <c r="BO103" s="139">
        <v>0</v>
      </c>
      <c r="BP103" s="139">
        <v>0</v>
      </c>
      <c r="BQ103" s="139">
        <v>0</v>
      </c>
      <c r="BR103" s="139">
        <v>0</v>
      </c>
      <c r="BS103" s="206">
        <v>120</v>
      </c>
      <c r="BT103" s="205">
        <f t="shared" si="112"/>
        <v>177.60000000000002</v>
      </c>
      <c r="BU103" s="153">
        <f t="shared" si="107"/>
        <v>960</v>
      </c>
    </row>
    <row r="104" spans="1:73" ht="25.8" thickBot="1" x14ac:dyDescent="0.65">
      <c r="A104" s="53">
        <v>96</v>
      </c>
      <c r="B104" s="99" t="s">
        <v>44</v>
      </c>
      <c r="C104" s="100" t="s">
        <v>164</v>
      </c>
      <c r="D104" s="99" t="s">
        <v>125</v>
      </c>
      <c r="E104" s="101">
        <v>6</v>
      </c>
      <c r="F104" s="101">
        <f t="shared" si="124"/>
        <v>3199.9800000000005</v>
      </c>
      <c r="G104" s="101">
        <f t="shared" si="125"/>
        <v>1587.6</v>
      </c>
      <c r="H104" s="102">
        <f t="shared" si="126"/>
        <v>4787.58</v>
      </c>
      <c r="I104" s="103">
        <v>9</v>
      </c>
      <c r="J104" s="81">
        <v>9</v>
      </c>
      <c r="L104" s="96">
        <v>46124</v>
      </c>
      <c r="M104" s="97"/>
      <c r="N104" s="98" t="str">
        <f t="shared" ca="1" si="173"/>
        <v>O.K.</v>
      </c>
      <c r="Z104" s="3" t="s">
        <v>44</v>
      </c>
      <c r="AA104" s="34">
        <v>420</v>
      </c>
      <c r="AB104" s="34">
        <v>96</v>
      </c>
      <c r="AC104" s="35">
        <v>96</v>
      </c>
      <c r="AD104" s="35">
        <v>99.6</v>
      </c>
      <c r="AE104" s="35">
        <v>120</v>
      </c>
      <c r="AF104" s="24">
        <v>187.2</v>
      </c>
      <c r="AG104" s="21">
        <f t="shared" si="150"/>
        <v>67.199999999999989</v>
      </c>
      <c r="AH104" s="42">
        <v>54</v>
      </c>
      <c r="AI104" s="42">
        <f>+(0)+(0)+(0)+(0)+(0)+(223.8)</f>
        <v>223.8</v>
      </c>
      <c r="AJ104" s="35">
        <v>120</v>
      </c>
      <c r="AK104" s="17">
        <f t="shared" si="144"/>
        <v>225</v>
      </c>
      <c r="AL104" s="42">
        <f>+(0)+(0)+(0)+(0)+(21)+(0)</f>
        <v>21</v>
      </c>
      <c r="AM104" s="42">
        <f>+(0)+(0)+(0)+(0)+(0)+(0)</f>
        <v>0</v>
      </c>
      <c r="AN104" s="35">
        <v>120</v>
      </c>
      <c r="AO104" s="24">
        <f t="shared" si="171"/>
        <v>126</v>
      </c>
      <c r="AP104" s="42">
        <f t="shared" si="172"/>
        <v>0</v>
      </c>
      <c r="AQ104" s="42">
        <f>+(0)+(0)+(0)+(0)+(0)+(30)</f>
        <v>30</v>
      </c>
      <c r="AR104" s="68">
        <v>120</v>
      </c>
      <c r="AS104" s="71">
        <f t="shared" si="146"/>
        <v>36</v>
      </c>
      <c r="AT104" s="60">
        <f t="shared" si="127"/>
        <v>0</v>
      </c>
      <c r="AU104" s="60">
        <f t="shared" si="127"/>
        <v>0</v>
      </c>
      <c r="AV104" s="94">
        <v>36</v>
      </c>
      <c r="AW104" s="71">
        <f t="shared" si="147"/>
        <v>0</v>
      </c>
      <c r="AX104" s="60">
        <f t="shared" si="157"/>
        <v>0</v>
      </c>
      <c r="AY104" s="113">
        <f>+(0)+(0)+(96)+(0)+(54)+(0)+(0)+(216)</f>
        <v>366</v>
      </c>
      <c r="AZ104" s="71">
        <v>120</v>
      </c>
      <c r="BA104" s="71">
        <f t="shared" si="155"/>
        <v>246</v>
      </c>
      <c r="BB104" s="135">
        <f>+(0)+(30)+(0)+(0)</f>
        <v>30</v>
      </c>
      <c r="BC104" s="135">
        <f>+(0)+(0)+(0)+(108)+(0)+(0)+(0)+(0)</f>
        <v>108</v>
      </c>
      <c r="BD104" s="50">
        <v>120</v>
      </c>
      <c r="BE104" s="50">
        <f t="shared" si="169"/>
        <v>264</v>
      </c>
      <c r="BG104" s="139">
        <v>0</v>
      </c>
      <c r="BH104" s="139">
        <v>0</v>
      </c>
      <c r="BI104" s="139">
        <v>0</v>
      </c>
      <c r="BJ104" s="139">
        <v>0</v>
      </c>
      <c r="BK104" s="139">
        <v>0</v>
      </c>
      <c r="BL104" s="139">
        <v>0</v>
      </c>
      <c r="BM104" s="139">
        <v>0</v>
      </c>
      <c r="BN104" s="139">
        <v>0</v>
      </c>
      <c r="BO104" s="139">
        <v>0</v>
      </c>
      <c r="BP104" s="139">
        <v>0</v>
      </c>
      <c r="BQ104" s="139">
        <v>0</v>
      </c>
      <c r="BR104" s="139">
        <v>0</v>
      </c>
      <c r="BS104" s="206">
        <v>120</v>
      </c>
      <c r="BT104" s="205">
        <f t="shared" si="112"/>
        <v>144</v>
      </c>
      <c r="BU104" s="153">
        <f t="shared" si="107"/>
        <v>1587.6</v>
      </c>
    </row>
    <row r="105" spans="1:73" ht="25.8" thickBot="1" x14ac:dyDescent="0.65">
      <c r="A105" s="53">
        <v>97</v>
      </c>
      <c r="B105" s="143" t="s">
        <v>476</v>
      </c>
      <c r="C105" s="144" t="s">
        <v>166</v>
      </c>
      <c r="D105" s="145">
        <v>45705</v>
      </c>
      <c r="E105" s="146">
        <v>0</v>
      </c>
      <c r="F105" s="146">
        <f t="shared" si="124"/>
        <v>0</v>
      </c>
      <c r="G105" s="146">
        <f t="shared" ref="G105" si="174">+BU105</f>
        <v>192</v>
      </c>
      <c r="H105" s="147">
        <f t="shared" ref="H105" si="175">+F105+G105</f>
        <v>192</v>
      </c>
      <c r="I105" s="148">
        <v>15</v>
      </c>
      <c r="J105" s="81">
        <v>15</v>
      </c>
      <c r="L105" s="149">
        <v>46435</v>
      </c>
      <c r="M105" s="150"/>
      <c r="N105" s="151" t="str">
        <f t="shared" ca="1" si="173"/>
        <v>O.K.</v>
      </c>
      <c r="Z105" s="3" t="s">
        <v>476</v>
      </c>
      <c r="AA105" s="34"/>
      <c r="AB105" s="34"/>
      <c r="AC105" s="35"/>
      <c r="AD105" s="35"/>
      <c r="AE105" s="35"/>
      <c r="AF105" s="24"/>
      <c r="AG105" s="21"/>
      <c r="AH105" s="42"/>
      <c r="AI105" s="42"/>
      <c r="AJ105" s="35"/>
      <c r="AK105" s="17"/>
      <c r="AL105" s="42"/>
      <c r="AM105" s="42"/>
      <c r="AN105" s="35"/>
      <c r="AO105" s="24"/>
      <c r="AP105" s="42"/>
      <c r="AQ105" s="42"/>
      <c r="AR105" s="68"/>
      <c r="AS105" s="71"/>
      <c r="AT105" s="60"/>
      <c r="AU105" s="60"/>
      <c r="AV105" s="94"/>
      <c r="AW105" s="71"/>
      <c r="AX105" s="60"/>
      <c r="AY105" s="113"/>
      <c r="AZ105" s="71"/>
      <c r="BA105" s="71"/>
      <c r="BB105" s="135">
        <f t="shared" si="106"/>
        <v>0</v>
      </c>
      <c r="BC105" s="135">
        <f>+(0)+(84)+(0)+(0)+(0)+(0)+(0)+(108)</f>
        <v>192</v>
      </c>
      <c r="BD105" s="50">
        <v>150</v>
      </c>
      <c r="BE105" s="50">
        <f t="shared" ref="BE105" si="176">(BA105+BB105+BC105)-BD105</f>
        <v>42</v>
      </c>
      <c r="BG105" s="139">
        <v>0</v>
      </c>
      <c r="BH105" s="139">
        <v>0</v>
      </c>
      <c r="BI105" s="139">
        <v>0</v>
      </c>
      <c r="BJ105" s="139">
        <v>0</v>
      </c>
      <c r="BK105" s="139">
        <v>0</v>
      </c>
      <c r="BL105" s="139">
        <v>0</v>
      </c>
      <c r="BM105" s="139">
        <v>0</v>
      </c>
      <c r="BN105" s="139">
        <v>0</v>
      </c>
      <c r="BO105" s="139">
        <v>0</v>
      </c>
      <c r="BP105" s="139">
        <v>0</v>
      </c>
      <c r="BQ105" s="139">
        <v>0</v>
      </c>
      <c r="BR105" s="139">
        <v>0</v>
      </c>
      <c r="BS105" s="206">
        <v>42</v>
      </c>
      <c r="BT105" s="205">
        <f t="shared" si="112"/>
        <v>0</v>
      </c>
      <c r="BU105" s="153">
        <f t="shared" si="107"/>
        <v>192</v>
      </c>
    </row>
    <row r="106" spans="1:73" ht="25.8" thickBot="1" x14ac:dyDescent="0.65">
      <c r="A106" s="53">
        <v>98</v>
      </c>
      <c r="B106" s="143" t="s">
        <v>243</v>
      </c>
      <c r="C106" s="144" t="s">
        <v>162</v>
      </c>
      <c r="D106" s="145">
        <v>41428</v>
      </c>
      <c r="E106" s="183">
        <v>6</v>
      </c>
      <c r="F106" s="146">
        <f>+E106*$C$1</f>
        <v>3199.9800000000005</v>
      </c>
      <c r="G106" s="146">
        <f>+'BIENIOS EDUARDO FREI M.'!BU106</f>
        <v>462</v>
      </c>
      <c r="H106" s="147">
        <f>+F106+G106</f>
        <v>3661.9800000000005</v>
      </c>
      <c r="I106" s="148">
        <v>11</v>
      </c>
      <c r="J106" s="81">
        <v>11</v>
      </c>
      <c r="L106" s="186">
        <v>46541</v>
      </c>
      <c r="M106" s="150"/>
      <c r="N106" s="151" t="str">
        <f t="shared" ca="1" si="173"/>
        <v>O.K.</v>
      </c>
      <c r="Z106" s="3" t="s">
        <v>243</v>
      </c>
      <c r="AA106" s="37">
        <v>0</v>
      </c>
      <c r="AB106" s="34">
        <v>96</v>
      </c>
      <c r="AC106" s="35">
        <v>96</v>
      </c>
      <c r="AD106" s="35">
        <v>96</v>
      </c>
      <c r="AE106" s="35">
        <v>78</v>
      </c>
      <c r="AF106" s="24">
        <v>78</v>
      </c>
      <c r="AG106" s="21">
        <f>+AF106-AE106</f>
        <v>0</v>
      </c>
      <c r="AH106" s="42">
        <v>0</v>
      </c>
      <c r="AI106" s="42">
        <f t="shared" ref="AI106:AI291" si="177">+(0)+(0)+(0)+(0)+(0)+(0)</f>
        <v>0</v>
      </c>
      <c r="AJ106" s="35">
        <v>0</v>
      </c>
      <c r="AK106" s="17">
        <f>+AG106+(AH106+AI106)-AJ106</f>
        <v>0</v>
      </c>
      <c r="AL106" s="42">
        <f t="shared" ref="AL106:AL335" si="178">+(0)+(0)+(0)+(0)+(0)+(0)</f>
        <v>0</v>
      </c>
      <c r="AM106" s="42">
        <f t="shared" ref="AM106:AM318" si="179">+(0)+(0)+(0)+(0)+(0)+(0)</f>
        <v>0</v>
      </c>
      <c r="AN106" s="35">
        <v>0</v>
      </c>
      <c r="AO106" s="24">
        <f>+AK106+AL106+AM106-AN106</f>
        <v>0</v>
      </c>
      <c r="AP106" s="42">
        <f>+(0)+(0)+(0)+(0)+(0)+(0)</f>
        <v>0</v>
      </c>
      <c r="AQ106" s="42">
        <f>+(96)+(0)+(0)+(0)+(0)+(0)</f>
        <v>96</v>
      </c>
      <c r="AR106" s="68">
        <v>96</v>
      </c>
      <c r="AS106" s="71">
        <f>+AO106+AP106+AQ106-AR106</f>
        <v>0</v>
      </c>
      <c r="AT106" s="60">
        <f t="shared" si="127"/>
        <v>0</v>
      </c>
      <c r="AU106" s="60">
        <f t="shared" si="127"/>
        <v>0</v>
      </c>
      <c r="AV106" s="94">
        <v>0</v>
      </c>
      <c r="AW106" s="71">
        <f>+AS106+AT106+AU106-AV106</f>
        <v>0</v>
      </c>
      <c r="AX106" s="60">
        <f t="shared" si="157"/>
        <v>0</v>
      </c>
      <c r="AY106" s="113">
        <f t="shared" si="149"/>
        <v>0</v>
      </c>
      <c r="AZ106" s="72">
        <v>0</v>
      </c>
      <c r="BA106" s="72">
        <f t="shared" si="155"/>
        <v>0</v>
      </c>
      <c r="BB106" s="135">
        <f t="shared" si="106"/>
        <v>0</v>
      </c>
      <c r="BC106" s="135">
        <f t="shared" si="116"/>
        <v>0</v>
      </c>
      <c r="BD106" s="50">
        <v>0</v>
      </c>
      <c r="BE106" s="50">
        <f t="shared" si="169"/>
        <v>0</v>
      </c>
      <c r="BG106" s="139">
        <v>0</v>
      </c>
      <c r="BH106" s="139">
        <v>0</v>
      </c>
      <c r="BI106" s="139">
        <v>0</v>
      </c>
      <c r="BJ106" s="139">
        <v>0</v>
      </c>
      <c r="BK106" s="139">
        <v>0</v>
      </c>
      <c r="BL106" s="139">
        <v>0</v>
      </c>
      <c r="BM106" s="139">
        <v>0</v>
      </c>
      <c r="BN106" s="139">
        <v>0</v>
      </c>
      <c r="BO106" s="139">
        <v>0</v>
      </c>
      <c r="BP106" s="139">
        <v>0</v>
      </c>
      <c r="BQ106" s="139">
        <v>0</v>
      </c>
      <c r="BR106" s="139">
        <v>0</v>
      </c>
      <c r="BS106" s="206">
        <v>0</v>
      </c>
      <c r="BT106" s="205">
        <f t="shared" si="112"/>
        <v>0</v>
      </c>
      <c r="BU106" s="153">
        <f t="shared" si="107"/>
        <v>462</v>
      </c>
    </row>
    <row r="107" spans="1:73" ht="25.8" thickBot="1" x14ac:dyDescent="0.65">
      <c r="A107" s="53">
        <v>99</v>
      </c>
      <c r="B107" s="181" t="s">
        <v>440</v>
      </c>
      <c r="C107" s="144" t="s">
        <v>164</v>
      </c>
      <c r="D107" s="182">
        <v>45055</v>
      </c>
      <c r="E107" s="183">
        <v>1</v>
      </c>
      <c r="F107" s="146">
        <f>+E107*$C$1</f>
        <v>533.33000000000004</v>
      </c>
      <c r="G107" s="146">
        <f>+'BIENIOS EDUARDO FREI M.'!BU107</f>
        <v>360</v>
      </c>
      <c r="H107" s="184">
        <f>+F107+G107</f>
        <v>893.33</v>
      </c>
      <c r="I107" s="185">
        <v>14</v>
      </c>
      <c r="J107" s="81">
        <v>14</v>
      </c>
      <c r="K107" s="199" t="s">
        <v>309</v>
      </c>
      <c r="L107" s="186">
        <v>46516</v>
      </c>
      <c r="M107" s="150"/>
      <c r="N107" s="151" t="str">
        <f t="shared" ca="1" si="173"/>
        <v>O.K.</v>
      </c>
      <c r="Z107" s="3" t="s">
        <v>440</v>
      </c>
      <c r="AA107" s="37">
        <v>0</v>
      </c>
      <c r="AB107" s="34">
        <v>0</v>
      </c>
      <c r="AC107" s="35">
        <v>0</v>
      </c>
      <c r="AD107" s="35">
        <v>0</v>
      </c>
      <c r="AE107" s="35">
        <v>0</v>
      </c>
      <c r="AF107" s="24">
        <v>0</v>
      </c>
      <c r="AG107" s="21">
        <f>+AF107-AE107</f>
        <v>0</v>
      </c>
      <c r="AH107" s="42">
        <v>0</v>
      </c>
      <c r="AI107" s="42">
        <v>0</v>
      </c>
      <c r="AJ107" s="35">
        <v>0</v>
      </c>
      <c r="AK107" s="17">
        <f>+AG107+(AH107+AI107)-AJ107</f>
        <v>0</v>
      </c>
      <c r="AL107" s="42">
        <v>0</v>
      </c>
      <c r="AM107" s="42">
        <v>0</v>
      </c>
      <c r="AN107" s="35">
        <v>0</v>
      </c>
      <c r="AO107" s="24">
        <f>+AK107+AL107+AM107-AN107</f>
        <v>0</v>
      </c>
      <c r="AP107" s="42">
        <v>0</v>
      </c>
      <c r="AQ107" s="42">
        <v>0</v>
      </c>
      <c r="AR107" s="68">
        <v>0</v>
      </c>
      <c r="AS107" s="71">
        <f>+AO107+AP107+AQ107-AR107</f>
        <v>0</v>
      </c>
      <c r="AT107" s="60">
        <v>0</v>
      </c>
      <c r="AU107" s="60">
        <v>0</v>
      </c>
      <c r="AV107" s="94">
        <v>0</v>
      </c>
      <c r="AW107" s="71">
        <f>+AS107+AT107+AU107-AV107</f>
        <v>0</v>
      </c>
      <c r="AX107" s="60">
        <f t="shared" si="157"/>
        <v>0</v>
      </c>
      <c r="AY107" s="113">
        <f>+(0)+(0)+(96)+(0)+(0)+(78)+(54.6)+(0)</f>
        <v>228.6</v>
      </c>
      <c r="AZ107" s="72">
        <v>120</v>
      </c>
      <c r="BA107" s="72">
        <f t="shared" ref="BA107" si="180">(+AW107+AX107+AY107)-AZ107</f>
        <v>108.6</v>
      </c>
      <c r="BB107" s="135">
        <f t="shared" si="106"/>
        <v>0</v>
      </c>
      <c r="BC107" s="135">
        <f>+(0)+(0)+(0)+(0)+(0)+(0)+(0)+(78)</f>
        <v>78</v>
      </c>
      <c r="BD107" s="50">
        <v>120</v>
      </c>
      <c r="BE107" s="50">
        <f t="shared" si="169"/>
        <v>66.599999999999994</v>
      </c>
      <c r="BG107" s="207">
        <v>75</v>
      </c>
      <c r="BH107" s="139">
        <v>0</v>
      </c>
      <c r="BI107" s="139">
        <v>0</v>
      </c>
      <c r="BJ107" s="139">
        <v>0</v>
      </c>
      <c r="BK107" s="139">
        <v>0</v>
      </c>
      <c r="BL107" s="139">
        <v>0</v>
      </c>
      <c r="BM107" s="139">
        <v>0</v>
      </c>
      <c r="BN107" s="139">
        <v>0</v>
      </c>
      <c r="BO107" s="139">
        <v>0</v>
      </c>
      <c r="BP107" s="139">
        <v>0</v>
      </c>
      <c r="BQ107" s="139">
        <v>0</v>
      </c>
      <c r="BR107" s="139">
        <v>0</v>
      </c>
      <c r="BS107" s="206">
        <v>120</v>
      </c>
      <c r="BT107" s="205">
        <f t="shared" si="112"/>
        <v>21.599999999999994</v>
      </c>
      <c r="BU107" s="153">
        <f t="shared" si="107"/>
        <v>360</v>
      </c>
    </row>
    <row r="108" spans="1:73" ht="25.8" thickBot="1" x14ac:dyDescent="0.65">
      <c r="A108" s="53">
        <v>100</v>
      </c>
      <c r="B108" s="99" t="s">
        <v>46</v>
      </c>
      <c r="C108" s="100" t="s">
        <v>162</v>
      </c>
      <c r="D108" s="108">
        <v>41015</v>
      </c>
      <c r="E108" s="101">
        <v>6</v>
      </c>
      <c r="F108" s="101">
        <f t="shared" si="124"/>
        <v>3199.9800000000005</v>
      </c>
      <c r="G108" s="101">
        <f t="shared" ref="G108:G114" si="181">+BU108</f>
        <v>1652.4</v>
      </c>
      <c r="H108" s="102">
        <f t="shared" si="126"/>
        <v>4852.380000000001</v>
      </c>
      <c r="I108" s="103">
        <v>9</v>
      </c>
      <c r="J108" s="81">
        <v>9</v>
      </c>
      <c r="L108" s="96">
        <v>46128</v>
      </c>
      <c r="M108" s="97"/>
      <c r="N108" s="98" t="str">
        <f t="shared" ca="1" si="173"/>
        <v>O.K.</v>
      </c>
      <c r="Z108" s="3" t="s">
        <v>46</v>
      </c>
      <c r="AA108" s="34">
        <v>420</v>
      </c>
      <c r="AB108" s="34">
        <v>96</v>
      </c>
      <c r="AC108" s="35">
        <v>96</v>
      </c>
      <c r="AD108" s="35">
        <v>120</v>
      </c>
      <c r="AE108" s="35">
        <v>120</v>
      </c>
      <c r="AF108" s="24">
        <v>156</v>
      </c>
      <c r="AG108" s="21">
        <f t="shared" ref="AG108:AG109" si="182">+AF108-AE108</f>
        <v>36</v>
      </c>
      <c r="AH108" s="42">
        <v>186.6</v>
      </c>
      <c r="AI108" s="42">
        <f>+(0)+(78)+(0)+(0)+(54)+(132)</f>
        <v>264</v>
      </c>
      <c r="AJ108" s="35">
        <v>120</v>
      </c>
      <c r="AK108" s="17">
        <f t="shared" ref="AK108:AK186" si="183">+AG108+(AH108+AI108)-AJ108</f>
        <v>366.6</v>
      </c>
      <c r="AL108" s="42">
        <f t="shared" si="178"/>
        <v>0</v>
      </c>
      <c r="AM108" s="42">
        <f t="shared" si="179"/>
        <v>0</v>
      </c>
      <c r="AN108" s="35">
        <v>120</v>
      </c>
      <c r="AO108" s="24">
        <f t="shared" si="171"/>
        <v>246.60000000000002</v>
      </c>
      <c r="AP108" s="42">
        <f t="shared" ref="AP108:AQ391" si="184">+(0)+(0)+(0)+(0)+(0)+(0)</f>
        <v>0</v>
      </c>
      <c r="AQ108" s="42">
        <f>+(0)+(30)+(0)+(0)+(0)+(0)</f>
        <v>30</v>
      </c>
      <c r="AR108" s="68">
        <v>120</v>
      </c>
      <c r="AS108" s="71">
        <f t="shared" si="146"/>
        <v>156.60000000000002</v>
      </c>
      <c r="AT108" s="60">
        <f>+(0)+(0)+(0)+(0)+(54)+(0)</f>
        <v>54</v>
      </c>
      <c r="AU108" s="60">
        <f t="shared" ref="AT108:AU391" si="185">+(0)+(0)+(0)+(0)+(0)+(0)</f>
        <v>0</v>
      </c>
      <c r="AV108" s="94">
        <v>120</v>
      </c>
      <c r="AW108" s="71">
        <f t="shared" si="147"/>
        <v>90.600000000000023</v>
      </c>
      <c r="AX108" s="60">
        <f t="shared" si="157"/>
        <v>0</v>
      </c>
      <c r="AY108" s="113">
        <f>+(0)+(0)+(96)+(0)+(0)+(0)+(0)+(0)</f>
        <v>96</v>
      </c>
      <c r="AZ108" s="72">
        <v>120</v>
      </c>
      <c r="BA108" s="72">
        <f t="shared" si="155"/>
        <v>66.600000000000023</v>
      </c>
      <c r="BB108" s="135">
        <f>+(0)+(0)+(0)+(37.8)</f>
        <v>37.799999999999997</v>
      </c>
      <c r="BC108" s="135">
        <f>+(0)+(0)+(0)+(0)+(0)+(96)+(0)+(0)</f>
        <v>96</v>
      </c>
      <c r="BD108" s="50">
        <v>120</v>
      </c>
      <c r="BE108" s="50">
        <f t="shared" si="169"/>
        <v>80.400000000000034</v>
      </c>
      <c r="BG108" s="139">
        <v>0</v>
      </c>
      <c r="BH108" s="139">
        <v>0</v>
      </c>
      <c r="BI108" s="139">
        <v>0</v>
      </c>
      <c r="BJ108" s="139">
        <v>0</v>
      </c>
      <c r="BK108" s="139">
        <v>0</v>
      </c>
      <c r="BL108" s="139">
        <v>0</v>
      </c>
      <c r="BM108" s="139">
        <v>0</v>
      </c>
      <c r="BN108" s="139">
        <v>0</v>
      </c>
      <c r="BO108" s="139">
        <v>0</v>
      </c>
      <c r="BP108" s="139">
        <v>0</v>
      </c>
      <c r="BQ108" s="139">
        <v>0</v>
      </c>
      <c r="BR108" s="139">
        <v>0</v>
      </c>
      <c r="BS108" s="206">
        <v>80.400000000000006</v>
      </c>
      <c r="BT108" s="205">
        <f t="shared" si="112"/>
        <v>0</v>
      </c>
      <c r="BU108" s="153">
        <f t="shared" si="107"/>
        <v>1652.4</v>
      </c>
    </row>
    <row r="109" spans="1:73" ht="25.8" thickBot="1" x14ac:dyDescent="0.65">
      <c r="A109" s="53">
        <v>101</v>
      </c>
      <c r="B109" s="143" t="s">
        <v>182</v>
      </c>
      <c r="C109" s="144" t="s">
        <v>168</v>
      </c>
      <c r="D109" s="152">
        <v>42217</v>
      </c>
      <c r="E109" s="146">
        <v>5</v>
      </c>
      <c r="F109" s="146">
        <f t="shared" si="124"/>
        <v>2666.65</v>
      </c>
      <c r="G109" s="146">
        <f t="shared" si="181"/>
        <v>1230</v>
      </c>
      <c r="H109" s="147">
        <f t="shared" si="126"/>
        <v>3896.65</v>
      </c>
      <c r="I109" s="148">
        <v>10</v>
      </c>
      <c r="J109" s="81">
        <v>10</v>
      </c>
      <c r="K109" s="208" t="s">
        <v>309</v>
      </c>
      <c r="L109" s="149">
        <v>46600</v>
      </c>
      <c r="M109" s="150"/>
      <c r="N109" s="151" t="str">
        <f t="shared" ca="1" si="173"/>
        <v>O.K.</v>
      </c>
      <c r="Z109" s="3" t="s">
        <v>182</v>
      </c>
      <c r="AA109" s="34">
        <v>0</v>
      </c>
      <c r="AB109" s="34">
        <v>96</v>
      </c>
      <c r="AC109" s="35">
        <v>96</v>
      </c>
      <c r="AD109" s="35">
        <v>120</v>
      </c>
      <c r="AE109" s="35">
        <v>78</v>
      </c>
      <c r="AF109" s="24">
        <v>78</v>
      </c>
      <c r="AG109" s="21">
        <f t="shared" si="182"/>
        <v>0</v>
      </c>
      <c r="AH109" s="42">
        <v>186.6</v>
      </c>
      <c r="AI109" s="42">
        <f>+(0)+(0)+(54)+(75.6)+(0)+(54)</f>
        <v>183.6</v>
      </c>
      <c r="AJ109" s="35">
        <v>120</v>
      </c>
      <c r="AK109" s="17">
        <f t="shared" si="183"/>
        <v>250.2</v>
      </c>
      <c r="AL109" s="42">
        <f t="shared" si="178"/>
        <v>0</v>
      </c>
      <c r="AM109" s="42">
        <f t="shared" si="179"/>
        <v>0</v>
      </c>
      <c r="AN109" s="35">
        <v>120</v>
      </c>
      <c r="AO109" s="24">
        <f t="shared" si="171"/>
        <v>130.19999999999999</v>
      </c>
      <c r="AP109" s="42">
        <f t="shared" si="184"/>
        <v>0</v>
      </c>
      <c r="AQ109" s="42">
        <f>+(0)+(30)+(99)+(0)+(96)+(0)</f>
        <v>225</v>
      </c>
      <c r="AR109" s="68">
        <v>120</v>
      </c>
      <c r="AS109" s="71">
        <f t="shared" si="146"/>
        <v>235.2</v>
      </c>
      <c r="AT109" s="60">
        <f>+(0)+(0)+(0)+(0)+(108)+(0)</f>
        <v>108</v>
      </c>
      <c r="AU109" s="60">
        <f t="shared" si="185"/>
        <v>0</v>
      </c>
      <c r="AV109" s="94">
        <v>120</v>
      </c>
      <c r="AW109" s="71">
        <f t="shared" si="147"/>
        <v>223.2</v>
      </c>
      <c r="AX109" s="60">
        <f>+(0)+(0)+(75.6)+(0)</f>
        <v>75.599999999999994</v>
      </c>
      <c r="AY109" s="113">
        <f>+(0)+(0)+(96)+(0)+(0)+(0)+(78)+(0)</f>
        <v>174</v>
      </c>
      <c r="AZ109" s="72">
        <v>120</v>
      </c>
      <c r="BA109" s="72">
        <f t="shared" si="155"/>
        <v>352.79999999999995</v>
      </c>
      <c r="BB109" s="135">
        <f>+(0)+(0)+(0)+(54)</f>
        <v>54</v>
      </c>
      <c r="BC109" s="135">
        <f>+(0)+(0)+(0)+(0)+(30)+(78)+(0)+(0)</f>
        <v>108</v>
      </c>
      <c r="BD109" s="50">
        <v>120</v>
      </c>
      <c r="BE109" s="50">
        <f t="shared" si="169"/>
        <v>394.79999999999995</v>
      </c>
      <c r="BG109" s="207">
        <v>96</v>
      </c>
      <c r="BH109" s="139">
        <v>0</v>
      </c>
      <c r="BI109" s="139">
        <v>0</v>
      </c>
      <c r="BJ109" s="139">
        <v>0</v>
      </c>
      <c r="BK109" s="139">
        <v>0</v>
      </c>
      <c r="BL109" s="139">
        <v>0</v>
      </c>
      <c r="BM109" s="139">
        <v>0</v>
      </c>
      <c r="BN109" s="139">
        <v>0</v>
      </c>
      <c r="BO109" s="139">
        <v>0</v>
      </c>
      <c r="BP109" s="139">
        <v>0</v>
      </c>
      <c r="BQ109" s="139">
        <v>0</v>
      </c>
      <c r="BR109" s="139">
        <v>0</v>
      </c>
      <c r="BS109" s="206">
        <v>120</v>
      </c>
      <c r="BT109" s="205">
        <f t="shared" si="112"/>
        <v>370.79999999999995</v>
      </c>
      <c r="BU109" s="153">
        <f t="shared" si="107"/>
        <v>1230</v>
      </c>
    </row>
    <row r="110" spans="1:73" ht="25.8" thickBot="1" x14ac:dyDescent="0.65">
      <c r="A110" s="53">
        <v>102</v>
      </c>
      <c r="B110" s="99" t="s">
        <v>47</v>
      </c>
      <c r="C110" s="100" t="s">
        <v>164</v>
      </c>
      <c r="D110" s="99" t="s">
        <v>127</v>
      </c>
      <c r="E110" s="101">
        <v>14</v>
      </c>
      <c r="F110" s="101">
        <f t="shared" si="124"/>
        <v>7466.6200000000008</v>
      </c>
      <c r="G110" s="101">
        <f t="shared" si="181"/>
        <v>2713.8</v>
      </c>
      <c r="H110" s="102">
        <f t="shared" si="126"/>
        <v>10180.420000000002</v>
      </c>
      <c r="I110" s="103">
        <v>2</v>
      </c>
      <c r="J110" s="81">
        <v>2</v>
      </c>
      <c r="L110" s="96">
        <v>46054</v>
      </c>
      <c r="M110" s="97"/>
      <c r="N110" s="98" t="str">
        <f t="shared" ca="1" si="173"/>
        <v>O.K.</v>
      </c>
      <c r="Z110" s="3" t="s">
        <v>47</v>
      </c>
      <c r="AA110" s="34">
        <v>1446</v>
      </c>
      <c r="AB110" s="34">
        <v>96</v>
      </c>
      <c r="AC110" s="35">
        <v>96</v>
      </c>
      <c r="AD110" s="35">
        <v>115.8</v>
      </c>
      <c r="AE110" s="35">
        <v>120</v>
      </c>
      <c r="AF110" s="24">
        <v>288.60000000000002</v>
      </c>
      <c r="AG110" s="21">
        <f t="shared" ref="AG110:AG200" si="186">+AF110-AE110</f>
        <v>168.60000000000002</v>
      </c>
      <c r="AH110" s="42">
        <v>54</v>
      </c>
      <c r="AI110" s="42">
        <f>+(0)+(54)+(0)+(0)+(0)+(108)</f>
        <v>162</v>
      </c>
      <c r="AJ110" s="35">
        <v>120</v>
      </c>
      <c r="AK110" s="17">
        <f t="shared" si="183"/>
        <v>264.60000000000002</v>
      </c>
      <c r="AL110" s="42">
        <f t="shared" si="178"/>
        <v>0</v>
      </c>
      <c r="AM110" s="42">
        <f t="shared" si="179"/>
        <v>0</v>
      </c>
      <c r="AN110" s="35">
        <v>120</v>
      </c>
      <c r="AO110" s="24">
        <f t="shared" si="171"/>
        <v>144.60000000000002</v>
      </c>
      <c r="AP110" s="42">
        <f t="shared" si="184"/>
        <v>0</v>
      </c>
      <c r="AQ110" s="42">
        <f>+(0)+(0)+(0)+(0)+(51)+(0)</f>
        <v>51</v>
      </c>
      <c r="AR110" s="68">
        <v>120</v>
      </c>
      <c r="AS110" s="71">
        <f t="shared" si="146"/>
        <v>75.600000000000023</v>
      </c>
      <c r="AT110" s="60">
        <f t="shared" si="185"/>
        <v>0</v>
      </c>
      <c r="AU110" s="60">
        <f>+(0)+(216)+(0)+(0)+(0)+(0)</f>
        <v>216</v>
      </c>
      <c r="AV110" s="94">
        <v>120</v>
      </c>
      <c r="AW110" s="71">
        <f t="shared" si="147"/>
        <v>171.60000000000002</v>
      </c>
      <c r="AX110" s="60">
        <f>+(0)+(0)+(0)+(108)</f>
        <v>108</v>
      </c>
      <c r="AY110" s="113">
        <f>+(0)+(0)+(96)+(0)+(0)+(78)+(0)+(0)</f>
        <v>174</v>
      </c>
      <c r="AZ110" s="72">
        <v>120</v>
      </c>
      <c r="BA110" s="72">
        <f t="shared" si="155"/>
        <v>333.6</v>
      </c>
      <c r="BB110" s="135">
        <f>+(0)+(30)+(0)+(0)</f>
        <v>30</v>
      </c>
      <c r="BC110" s="135">
        <f>+(0)+(78)+(0)+(108)+(0)+(0)+(0)+(0)</f>
        <v>186</v>
      </c>
      <c r="BD110" s="50">
        <v>120</v>
      </c>
      <c r="BE110" s="50">
        <f t="shared" si="169"/>
        <v>429.6</v>
      </c>
      <c r="BG110" s="139">
        <v>0</v>
      </c>
      <c r="BH110" s="139">
        <v>0</v>
      </c>
      <c r="BI110" s="139">
        <v>0</v>
      </c>
      <c r="BJ110" s="139">
        <v>0</v>
      </c>
      <c r="BK110" s="139">
        <v>0</v>
      </c>
      <c r="BL110" s="139">
        <v>0</v>
      </c>
      <c r="BM110" s="139">
        <v>0</v>
      </c>
      <c r="BN110" s="139">
        <v>0</v>
      </c>
      <c r="BO110" s="139">
        <v>0</v>
      </c>
      <c r="BP110" s="139">
        <v>0</v>
      </c>
      <c r="BQ110" s="139">
        <v>0</v>
      </c>
      <c r="BR110" s="139">
        <v>0</v>
      </c>
      <c r="BS110" s="206">
        <v>120</v>
      </c>
      <c r="BT110" s="205">
        <f t="shared" si="112"/>
        <v>309.60000000000002</v>
      </c>
      <c r="BU110" s="153">
        <f t="shared" si="107"/>
        <v>2713.8</v>
      </c>
    </row>
    <row r="111" spans="1:73" ht="25.8" thickBot="1" x14ac:dyDescent="0.65">
      <c r="A111" s="53">
        <v>103</v>
      </c>
      <c r="B111" s="99" t="s">
        <v>322</v>
      </c>
      <c r="C111" s="100" t="s">
        <v>166</v>
      </c>
      <c r="D111" s="108">
        <v>44197</v>
      </c>
      <c r="E111" s="101">
        <v>2</v>
      </c>
      <c r="F111" s="101">
        <f t="shared" si="124"/>
        <v>1066.6600000000001</v>
      </c>
      <c r="G111" s="101">
        <f t="shared" si="181"/>
        <v>750</v>
      </c>
      <c r="H111" s="102">
        <f t="shared" si="126"/>
        <v>1816.66</v>
      </c>
      <c r="I111" s="103">
        <v>13</v>
      </c>
      <c r="J111" s="81">
        <v>13</v>
      </c>
      <c r="K111" s="208" t="s">
        <v>309</v>
      </c>
      <c r="L111" s="96">
        <v>46174</v>
      </c>
      <c r="M111" s="97"/>
      <c r="N111" s="98" t="str">
        <f t="shared" ca="1" si="173"/>
        <v>O.K.</v>
      </c>
      <c r="Z111" s="3" t="s">
        <v>322</v>
      </c>
      <c r="AA111" s="34">
        <v>0</v>
      </c>
      <c r="AB111" s="34">
        <v>0</v>
      </c>
      <c r="AC111" s="35">
        <v>0</v>
      </c>
      <c r="AD111" s="35">
        <v>0</v>
      </c>
      <c r="AE111" s="35">
        <v>0</v>
      </c>
      <c r="AF111" s="24">
        <v>0</v>
      </c>
      <c r="AG111" s="21">
        <f t="shared" si="186"/>
        <v>0</v>
      </c>
      <c r="AH111" s="42">
        <v>0</v>
      </c>
      <c r="AI111" s="42">
        <v>0</v>
      </c>
      <c r="AJ111" s="35">
        <v>0</v>
      </c>
      <c r="AK111" s="17">
        <f t="shared" si="183"/>
        <v>0</v>
      </c>
      <c r="AL111" s="42">
        <f t="shared" si="178"/>
        <v>0</v>
      </c>
      <c r="AM111" s="42">
        <f t="shared" si="179"/>
        <v>0</v>
      </c>
      <c r="AN111" s="35">
        <v>0</v>
      </c>
      <c r="AO111" s="24">
        <f t="shared" si="171"/>
        <v>0</v>
      </c>
      <c r="AP111" s="42">
        <f>+(0)+(0)+(138.6)+(0)+(0)+(0)</f>
        <v>138.6</v>
      </c>
      <c r="AQ111" s="42">
        <f>+(0)+(0)+(0)+(0)+(21.6)+(246.6)</f>
        <v>268.2</v>
      </c>
      <c r="AR111" s="68">
        <v>150</v>
      </c>
      <c r="AS111" s="71">
        <f t="shared" si="146"/>
        <v>256.79999999999995</v>
      </c>
      <c r="AT111" s="60">
        <f>+(0)+(0)+(0)+(0)+(132)+(0)</f>
        <v>132</v>
      </c>
      <c r="AU111" s="60">
        <f>+(120)+(54)+(0)+(0)+(0)+(0)</f>
        <v>174</v>
      </c>
      <c r="AV111" s="94">
        <v>150</v>
      </c>
      <c r="AW111" s="71">
        <f t="shared" si="147"/>
        <v>412.79999999999995</v>
      </c>
      <c r="AX111" s="60">
        <f>+(0)+(0)+(108)+(366)</f>
        <v>474</v>
      </c>
      <c r="AY111" s="113">
        <f t="shared" si="149"/>
        <v>0</v>
      </c>
      <c r="AZ111" s="72">
        <v>150</v>
      </c>
      <c r="BA111" s="72">
        <f t="shared" si="155"/>
        <v>736.8</v>
      </c>
      <c r="BB111" s="135">
        <f t="shared" si="106"/>
        <v>0</v>
      </c>
      <c r="BC111" s="135">
        <f>+(0)+(60)+(54)+(120)+(0)+(0)+(0)+(0)</f>
        <v>234</v>
      </c>
      <c r="BD111" s="50">
        <v>150</v>
      </c>
      <c r="BE111" s="50">
        <f t="shared" si="169"/>
        <v>820.8</v>
      </c>
      <c r="BG111" s="139">
        <v>0</v>
      </c>
      <c r="BH111" s="139">
        <v>0</v>
      </c>
      <c r="BI111" s="139">
        <v>0</v>
      </c>
      <c r="BJ111" s="139">
        <v>0</v>
      </c>
      <c r="BK111" s="139">
        <v>0</v>
      </c>
      <c r="BL111" s="139">
        <v>0</v>
      </c>
      <c r="BM111" s="139">
        <v>0</v>
      </c>
      <c r="BN111" s="139">
        <v>0</v>
      </c>
      <c r="BO111" s="139">
        <v>0</v>
      </c>
      <c r="BP111" s="139">
        <v>0</v>
      </c>
      <c r="BQ111" s="139">
        <v>0</v>
      </c>
      <c r="BR111" s="139">
        <v>0</v>
      </c>
      <c r="BS111" s="206">
        <v>150</v>
      </c>
      <c r="BT111" s="205">
        <f t="shared" si="112"/>
        <v>670.8</v>
      </c>
      <c r="BU111" s="153">
        <f t="shared" si="107"/>
        <v>750</v>
      </c>
    </row>
    <row r="112" spans="1:73" ht="25.8" thickBot="1" x14ac:dyDescent="0.65">
      <c r="A112" s="53">
        <v>104</v>
      </c>
      <c r="B112" s="176" t="s">
        <v>48</v>
      </c>
      <c r="C112" s="144" t="s">
        <v>168</v>
      </c>
      <c r="D112" s="176" t="s">
        <v>128</v>
      </c>
      <c r="E112" s="146">
        <v>5</v>
      </c>
      <c r="F112" s="146">
        <f t="shared" si="124"/>
        <v>2666.65</v>
      </c>
      <c r="G112" s="146">
        <f t="shared" si="181"/>
        <v>1171.1999999999998</v>
      </c>
      <c r="H112" s="147">
        <f t="shared" si="126"/>
        <v>3837.85</v>
      </c>
      <c r="I112" s="148">
        <v>10</v>
      </c>
      <c r="J112" s="81">
        <v>10</v>
      </c>
      <c r="L112" s="149">
        <v>46600</v>
      </c>
      <c r="M112" s="150"/>
      <c r="N112" s="151" t="str">
        <f t="shared" ca="1" si="173"/>
        <v>O.K.</v>
      </c>
      <c r="Z112" s="3" t="s">
        <v>48</v>
      </c>
      <c r="AA112" s="34">
        <v>0</v>
      </c>
      <c r="AB112" s="34">
        <v>120</v>
      </c>
      <c r="AC112" s="35">
        <v>120</v>
      </c>
      <c r="AD112" s="35">
        <v>120</v>
      </c>
      <c r="AE112" s="35">
        <v>120</v>
      </c>
      <c r="AF112" s="24">
        <v>210.6</v>
      </c>
      <c r="AG112" s="21">
        <f t="shared" si="186"/>
        <v>90.6</v>
      </c>
      <c r="AH112" s="42">
        <v>0</v>
      </c>
      <c r="AI112" s="42">
        <f>+(0)+(0)+(0)+(0)+(0)+(108)</f>
        <v>108</v>
      </c>
      <c r="AJ112" s="35">
        <v>120</v>
      </c>
      <c r="AK112" s="17">
        <f t="shared" si="183"/>
        <v>78.599999999999994</v>
      </c>
      <c r="AL112" s="42">
        <f>+(0)+(0)+(0)+(0)+(0)+(156)</f>
        <v>156</v>
      </c>
      <c r="AM112" s="42">
        <f t="shared" si="179"/>
        <v>0</v>
      </c>
      <c r="AN112" s="35">
        <v>120</v>
      </c>
      <c r="AO112" s="24">
        <f t="shared" si="171"/>
        <v>114.6</v>
      </c>
      <c r="AP112" s="42">
        <f>+(0)+(0)+(0)+(0)+(0)+(0)</f>
        <v>0</v>
      </c>
      <c r="AQ112" s="42">
        <f>+(108)+(0)+(0)+(0)+(0)+(0)</f>
        <v>108</v>
      </c>
      <c r="AR112" s="68">
        <v>120</v>
      </c>
      <c r="AS112" s="71">
        <f t="shared" si="146"/>
        <v>102.6</v>
      </c>
      <c r="AT112" s="60">
        <f t="shared" si="185"/>
        <v>0</v>
      </c>
      <c r="AU112" s="60">
        <f t="shared" si="185"/>
        <v>0</v>
      </c>
      <c r="AV112" s="94">
        <v>102.6</v>
      </c>
      <c r="AW112" s="71">
        <f t="shared" si="147"/>
        <v>0</v>
      </c>
      <c r="AX112" s="60">
        <f t="shared" ref="AX112:AY339" si="187">+(0)+(0)+(0)+(0)</f>
        <v>0</v>
      </c>
      <c r="AY112" s="113">
        <f>+(0)+(0)+(0)+(0)+(0)+(0)+(54.6)+(120)</f>
        <v>174.6</v>
      </c>
      <c r="AZ112" s="71">
        <v>120</v>
      </c>
      <c r="BA112" s="71">
        <f t="shared" si="155"/>
        <v>54.599999999999994</v>
      </c>
      <c r="BB112" s="135">
        <f>+(0)+(0)+(0)+(0)</f>
        <v>0</v>
      </c>
      <c r="BC112" s="135">
        <f>+(0)+(0)+(0)+(0)+(54)+(0)+(0)+(0)</f>
        <v>54</v>
      </c>
      <c r="BD112" s="50">
        <v>108.6</v>
      </c>
      <c r="BE112" s="50">
        <f t="shared" si="169"/>
        <v>0</v>
      </c>
      <c r="BG112" s="139">
        <v>0</v>
      </c>
      <c r="BH112" s="139">
        <v>0</v>
      </c>
      <c r="BI112" s="139">
        <v>0</v>
      </c>
      <c r="BJ112" s="139">
        <v>0</v>
      </c>
      <c r="BK112" s="139">
        <v>0</v>
      </c>
      <c r="BL112" s="139">
        <v>0</v>
      </c>
      <c r="BM112" s="139">
        <v>0</v>
      </c>
      <c r="BN112" s="139">
        <v>0</v>
      </c>
      <c r="BO112" s="139">
        <v>0</v>
      </c>
      <c r="BP112" s="139">
        <v>0</v>
      </c>
      <c r="BQ112" s="139">
        <v>0</v>
      </c>
      <c r="BR112" s="139">
        <v>0</v>
      </c>
      <c r="BS112" s="206">
        <v>0</v>
      </c>
      <c r="BT112" s="205">
        <f t="shared" si="112"/>
        <v>0</v>
      </c>
      <c r="BU112" s="153">
        <f t="shared" si="107"/>
        <v>1171.1999999999998</v>
      </c>
    </row>
    <row r="113" spans="1:73" ht="25.8" thickBot="1" x14ac:dyDescent="0.65">
      <c r="A113" s="53">
        <v>105</v>
      </c>
      <c r="B113" s="99" t="s">
        <v>390</v>
      </c>
      <c r="C113" s="100" t="s">
        <v>165</v>
      </c>
      <c r="D113" s="105">
        <v>44931</v>
      </c>
      <c r="E113" s="101">
        <v>1</v>
      </c>
      <c r="F113" s="101">
        <f t="shared" ref="F113" si="188">+E113*$C$1</f>
        <v>533.33000000000004</v>
      </c>
      <c r="G113" s="101">
        <f t="shared" ref="G113" si="189">+BU113</f>
        <v>1545.6</v>
      </c>
      <c r="H113" s="102">
        <f t="shared" ref="H113" si="190">+F113+G113</f>
        <v>2078.9299999999998</v>
      </c>
      <c r="I113" s="103">
        <v>13</v>
      </c>
      <c r="J113" s="81">
        <v>13</v>
      </c>
      <c r="L113" s="96">
        <v>46270</v>
      </c>
      <c r="M113" s="97"/>
      <c r="N113" s="98" t="str">
        <f ca="1">IF($B$2&lt;L113,"O.K.","A L E R T A ")</f>
        <v>O.K.</v>
      </c>
      <c r="Z113" s="3" t="s">
        <v>390</v>
      </c>
      <c r="AA113" s="70">
        <v>1041.5999999999999</v>
      </c>
      <c r="AB113" s="34">
        <v>0</v>
      </c>
      <c r="AC113" s="35">
        <v>0</v>
      </c>
      <c r="AD113" s="35">
        <v>0</v>
      </c>
      <c r="AE113" s="35">
        <v>0</v>
      </c>
      <c r="AF113" s="24">
        <v>0</v>
      </c>
      <c r="AG113" s="21">
        <f>+AF113-AE113</f>
        <v>0</v>
      </c>
      <c r="AH113" s="42">
        <v>0</v>
      </c>
      <c r="AI113" s="42">
        <v>0</v>
      </c>
      <c r="AJ113" s="35">
        <v>0</v>
      </c>
      <c r="AK113" s="17">
        <f>+AG113+(AH113+AI113)-AJ113</f>
        <v>0</v>
      </c>
      <c r="AL113" s="42">
        <v>0</v>
      </c>
      <c r="AM113" s="42">
        <v>0</v>
      </c>
      <c r="AN113" s="35">
        <v>0</v>
      </c>
      <c r="AO113" s="24">
        <f>+AK113+AL113+AM113-AN113</f>
        <v>0</v>
      </c>
      <c r="AP113" s="42">
        <v>0</v>
      </c>
      <c r="AQ113" s="42">
        <v>0</v>
      </c>
      <c r="AR113" s="68">
        <v>0</v>
      </c>
      <c r="AS113" s="71">
        <f>+AO113+AP113+AQ113-AR113</f>
        <v>0</v>
      </c>
      <c r="AT113" s="60">
        <f>+(0)+(0)+(0)+(0)+(54)+(0)</f>
        <v>54</v>
      </c>
      <c r="AU113" s="60">
        <f t="shared" si="185"/>
        <v>0</v>
      </c>
      <c r="AV113" s="94">
        <v>54</v>
      </c>
      <c r="AW113" s="71">
        <f>+AS113+AT113+AU113-AV113</f>
        <v>0</v>
      </c>
      <c r="AX113" s="60">
        <f>+(0)+(0)+(0)+(252)</f>
        <v>252</v>
      </c>
      <c r="AY113" s="113">
        <f>+(0)+(0)+(0)+(0)+(0)+(0)+(234)+(78)</f>
        <v>312</v>
      </c>
      <c r="AZ113" s="71">
        <v>150</v>
      </c>
      <c r="BA113" s="71">
        <f t="shared" si="155"/>
        <v>414</v>
      </c>
      <c r="BB113" s="135">
        <f>+(0)+(0)+(0)+(210)</f>
        <v>210</v>
      </c>
      <c r="BC113" s="135">
        <f>+(0)+(30)+(330)+(0)+(78)+(0)+(228)+(0)</f>
        <v>666</v>
      </c>
      <c r="BD113" s="50">
        <v>150</v>
      </c>
      <c r="BE113" s="50">
        <f t="shared" si="169"/>
        <v>1140</v>
      </c>
      <c r="BG113" s="139">
        <v>0</v>
      </c>
      <c r="BH113" s="139">
        <v>0</v>
      </c>
      <c r="BI113" s="139">
        <v>0</v>
      </c>
      <c r="BJ113" s="139">
        <v>0</v>
      </c>
      <c r="BK113" s="139">
        <v>0</v>
      </c>
      <c r="BL113" s="139">
        <v>0</v>
      </c>
      <c r="BM113" s="139">
        <v>0</v>
      </c>
      <c r="BN113" s="139">
        <v>0</v>
      </c>
      <c r="BO113" s="139">
        <v>0</v>
      </c>
      <c r="BP113" s="139">
        <v>0</v>
      </c>
      <c r="BQ113" s="139">
        <v>0</v>
      </c>
      <c r="BR113" s="139">
        <v>0</v>
      </c>
      <c r="BS113" s="206">
        <v>150</v>
      </c>
      <c r="BT113" s="205">
        <f t="shared" si="112"/>
        <v>990</v>
      </c>
      <c r="BU113" s="153">
        <f t="shared" si="107"/>
        <v>1545.6</v>
      </c>
    </row>
    <row r="114" spans="1:73" ht="25.8" thickBot="1" x14ac:dyDescent="0.65">
      <c r="A114" s="53">
        <v>106</v>
      </c>
      <c r="B114" s="99" t="s">
        <v>197</v>
      </c>
      <c r="C114" s="100" t="s">
        <v>166</v>
      </c>
      <c r="D114" s="105">
        <v>42644</v>
      </c>
      <c r="E114" s="101">
        <v>4</v>
      </c>
      <c r="F114" s="101">
        <f t="shared" si="124"/>
        <v>2133.3200000000002</v>
      </c>
      <c r="G114" s="101">
        <f t="shared" si="181"/>
        <v>793.2</v>
      </c>
      <c r="H114" s="102">
        <f t="shared" si="126"/>
        <v>2926.5200000000004</v>
      </c>
      <c r="I114" s="103">
        <v>12</v>
      </c>
      <c r="J114" s="81">
        <v>12</v>
      </c>
      <c r="L114" s="96">
        <v>46250</v>
      </c>
      <c r="M114" s="97"/>
      <c r="N114" s="98" t="str">
        <f t="shared" ca="1" si="173"/>
        <v>O.K.</v>
      </c>
      <c r="Z114" s="3" t="s">
        <v>197</v>
      </c>
      <c r="AA114" s="34">
        <v>0</v>
      </c>
      <c r="AB114" s="34">
        <v>0</v>
      </c>
      <c r="AC114" s="35">
        <v>0</v>
      </c>
      <c r="AD114" s="35">
        <v>132.6</v>
      </c>
      <c r="AE114" s="35">
        <v>150</v>
      </c>
      <c r="AF114" s="24">
        <v>240</v>
      </c>
      <c r="AG114" s="21">
        <f t="shared" si="186"/>
        <v>90</v>
      </c>
      <c r="AH114" s="42">
        <v>132.6</v>
      </c>
      <c r="AI114" s="42">
        <f t="shared" si="177"/>
        <v>0</v>
      </c>
      <c r="AJ114" s="35">
        <v>150</v>
      </c>
      <c r="AK114" s="17">
        <f t="shared" si="183"/>
        <v>72.599999999999994</v>
      </c>
      <c r="AL114" s="42">
        <f>+(0)+(0)+(0)+(0)+(0)+(0)</f>
        <v>0</v>
      </c>
      <c r="AM114" s="42">
        <f t="shared" si="179"/>
        <v>0</v>
      </c>
      <c r="AN114" s="35">
        <v>72.599999999999994</v>
      </c>
      <c r="AO114" s="24">
        <f t="shared" si="171"/>
        <v>0</v>
      </c>
      <c r="AP114" s="42">
        <f t="shared" si="184"/>
        <v>0</v>
      </c>
      <c r="AQ114" s="42">
        <f t="shared" si="184"/>
        <v>0</v>
      </c>
      <c r="AR114" s="68">
        <v>0</v>
      </c>
      <c r="AS114" s="71">
        <f t="shared" si="146"/>
        <v>0</v>
      </c>
      <c r="AT114" s="60">
        <f t="shared" si="185"/>
        <v>0</v>
      </c>
      <c r="AU114" s="60">
        <f t="shared" si="185"/>
        <v>0</v>
      </c>
      <c r="AV114" s="94">
        <v>0</v>
      </c>
      <c r="AW114" s="71">
        <f t="shared" si="147"/>
        <v>0</v>
      </c>
      <c r="AX114" s="60">
        <f>+(0)+(0)+(0)+(132)</f>
        <v>132</v>
      </c>
      <c r="AY114" s="113">
        <f>+(0)+(0)+(0)+(0)+(78)+(0)+(0)+(0)</f>
        <v>78</v>
      </c>
      <c r="AZ114" s="72">
        <v>150</v>
      </c>
      <c r="BA114" s="72">
        <f t="shared" si="155"/>
        <v>60</v>
      </c>
      <c r="BB114" s="135">
        <f t="shared" si="106"/>
        <v>0</v>
      </c>
      <c r="BC114" s="135">
        <f>+(0)+(78)+(0)+(0)+(0)+(0)+(0)+(0)</f>
        <v>78</v>
      </c>
      <c r="BD114" s="50">
        <v>138</v>
      </c>
      <c r="BE114" s="50">
        <f t="shared" si="169"/>
        <v>0</v>
      </c>
      <c r="BG114" s="139">
        <v>0</v>
      </c>
      <c r="BH114" s="139">
        <v>0</v>
      </c>
      <c r="BI114" s="139">
        <v>0</v>
      </c>
      <c r="BJ114" s="139">
        <v>0</v>
      </c>
      <c r="BK114" s="139">
        <v>0</v>
      </c>
      <c r="BL114" s="139">
        <v>0</v>
      </c>
      <c r="BM114" s="139">
        <v>0</v>
      </c>
      <c r="BN114" s="139">
        <v>0</v>
      </c>
      <c r="BO114" s="139">
        <v>0</v>
      </c>
      <c r="BP114" s="139">
        <v>0</v>
      </c>
      <c r="BQ114" s="139">
        <v>0</v>
      </c>
      <c r="BR114" s="139">
        <v>0</v>
      </c>
      <c r="BS114" s="206">
        <v>0</v>
      </c>
      <c r="BT114" s="205">
        <f t="shared" si="112"/>
        <v>0</v>
      </c>
      <c r="BU114" s="153">
        <f t="shared" si="107"/>
        <v>793.2</v>
      </c>
    </row>
    <row r="115" spans="1:73" ht="25.8" thickBot="1" x14ac:dyDescent="0.65">
      <c r="A115" s="53">
        <v>107</v>
      </c>
      <c r="B115" s="99" t="s">
        <v>196</v>
      </c>
      <c r="C115" s="100" t="s">
        <v>165</v>
      </c>
      <c r="D115" s="105">
        <v>42599</v>
      </c>
      <c r="E115" s="101">
        <v>4</v>
      </c>
      <c r="F115" s="101">
        <f t="shared" ref="F115:F166" si="191">+E115*$C$1</f>
        <v>2133.3200000000002</v>
      </c>
      <c r="G115" s="101">
        <f t="shared" ref="G115:G166" si="192">+BU115</f>
        <v>1542</v>
      </c>
      <c r="H115" s="102">
        <f t="shared" ref="H115:H166" si="193">+F115+G115</f>
        <v>3675.32</v>
      </c>
      <c r="I115" s="103">
        <v>11</v>
      </c>
      <c r="J115" s="81">
        <v>11</v>
      </c>
      <c r="L115" s="96">
        <v>46251</v>
      </c>
      <c r="M115" s="97"/>
      <c r="N115" s="98" t="str">
        <f t="shared" ca="1" si="173"/>
        <v>O.K.</v>
      </c>
      <c r="O115" s="1" t="s">
        <v>193</v>
      </c>
      <c r="P115" s="1"/>
      <c r="Q115" s="1"/>
      <c r="R115" s="1"/>
      <c r="S115" s="1"/>
      <c r="T115" s="1"/>
      <c r="U115" s="1"/>
      <c r="V115" s="1"/>
      <c r="W115" s="1"/>
      <c r="Z115" s="3" t="s">
        <v>196</v>
      </c>
      <c r="AA115" s="34">
        <v>0</v>
      </c>
      <c r="AB115" s="34">
        <v>96</v>
      </c>
      <c r="AC115" s="35">
        <v>96</v>
      </c>
      <c r="AD115" s="35">
        <v>150</v>
      </c>
      <c r="AE115" s="35">
        <v>150</v>
      </c>
      <c r="AF115" s="24">
        <v>258</v>
      </c>
      <c r="AG115" s="21">
        <f t="shared" si="186"/>
        <v>108</v>
      </c>
      <c r="AH115" s="42">
        <v>0</v>
      </c>
      <c r="AI115" s="42">
        <f>+(0)+(0)+(0)+(0)+(54)+(54)</f>
        <v>108</v>
      </c>
      <c r="AJ115" s="35">
        <v>150</v>
      </c>
      <c r="AK115" s="17">
        <f t="shared" si="183"/>
        <v>66</v>
      </c>
      <c r="AL115" s="42">
        <f>+(0)+(0)+(0)+(0)+(0)+(0)</f>
        <v>0</v>
      </c>
      <c r="AM115" s="42">
        <f>+(0)+(228)+(0)+(0)+(120)+(240)</f>
        <v>588</v>
      </c>
      <c r="AN115" s="35">
        <v>150</v>
      </c>
      <c r="AO115" s="24">
        <f t="shared" si="171"/>
        <v>504</v>
      </c>
      <c r="AP115" s="42">
        <f t="shared" si="184"/>
        <v>0</v>
      </c>
      <c r="AQ115" s="42">
        <f t="shared" si="184"/>
        <v>0</v>
      </c>
      <c r="AR115" s="68">
        <v>150</v>
      </c>
      <c r="AS115" s="71">
        <f t="shared" si="146"/>
        <v>354</v>
      </c>
      <c r="AT115" s="60">
        <f>+(0)+(0)+(0)+(0)+(54)+(0)</f>
        <v>54</v>
      </c>
      <c r="AU115" s="60">
        <f t="shared" si="185"/>
        <v>0</v>
      </c>
      <c r="AV115" s="94">
        <v>150</v>
      </c>
      <c r="AW115" s="71">
        <f t="shared" si="147"/>
        <v>258</v>
      </c>
      <c r="AX115" s="60">
        <f t="shared" si="187"/>
        <v>0</v>
      </c>
      <c r="AY115" s="113">
        <f>+(120)+(0)+(0)+(0)+(0)+(0)+(0)+(30)</f>
        <v>150</v>
      </c>
      <c r="AZ115" s="71">
        <v>150</v>
      </c>
      <c r="BA115" s="71">
        <f t="shared" si="155"/>
        <v>258</v>
      </c>
      <c r="BB115" s="135">
        <f>+(0)+(0)+(0)+(132)</f>
        <v>132</v>
      </c>
      <c r="BC115" s="135">
        <f>+(0)+(30)+(252)+(0)+(78)+(0)+(0)+(0)</f>
        <v>360</v>
      </c>
      <c r="BD115" s="50">
        <v>150</v>
      </c>
      <c r="BE115" s="50">
        <f t="shared" si="169"/>
        <v>600</v>
      </c>
      <c r="BG115" s="139">
        <v>0</v>
      </c>
      <c r="BH115" s="139">
        <v>0</v>
      </c>
      <c r="BI115" s="139">
        <v>0</v>
      </c>
      <c r="BJ115" s="139">
        <v>0</v>
      </c>
      <c r="BK115" s="139">
        <v>0</v>
      </c>
      <c r="BL115" s="139">
        <v>0</v>
      </c>
      <c r="BM115" s="139">
        <v>0</v>
      </c>
      <c r="BN115" s="139">
        <v>0</v>
      </c>
      <c r="BO115" s="139">
        <v>0</v>
      </c>
      <c r="BP115" s="139">
        <v>0</v>
      </c>
      <c r="BQ115" s="139">
        <v>0</v>
      </c>
      <c r="BR115" s="139">
        <v>0</v>
      </c>
      <c r="BS115" s="206">
        <v>150</v>
      </c>
      <c r="BT115" s="205">
        <f t="shared" si="112"/>
        <v>450</v>
      </c>
      <c r="BU115" s="153">
        <f t="shared" si="107"/>
        <v>1542</v>
      </c>
    </row>
    <row r="116" spans="1:73" ht="25.8" thickBot="1" x14ac:dyDescent="0.65">
      <c r="A116" s="53">
        <v>108</v>
      </c>
      <c r="B116" s="143" t="s">
        <v>49</v>
      </c>
      <c r="C116" s="144" t="s">
        <v>162</v>
      </c>
      <c r="D116" s="143" t="s">
        <v>129</v>
      </c>
      <c r="E116" s="146">
        <v>12</v>
      </c>
      <c r="F116" s="146">
        <f t="shared" si="191"/>
        <v>6399.9600000000009</v>
      </c>
      <c r="G116" s="146">
        <f t="shared" si="192"/>
        <v>2799</v>
      </c>
      <c r="H116" s="147">
        <f t="shared" si="193"/>
        <v>9198.9600000000009</v>
      </c>
      <c r="I116" s="148">
        <v>4</v>
      </c>
      <c r="J116" s="81">
        <v>4</v>
      </c>
      <c r="L116" s="149">
        <v>46569</v>
      </c>
      <c r="M116" s="150"/>
      <c r="N116" s="151" t="str">
        <f t="shared" ca="1" si="173"/>
        <v>O.K.</v>
      </c>
      <c r="O116" s="1" t="s">
        <v>193</v>
      </c>
      <c r="P116" s="1"/>
      <c r="Q116" s="1"/>
      <c r="R116" s="1"/>
      <c r="S116" s="1"/>
      <c r="T116" s="1"/>
      <c r="U116" s="1"/>
      <c r="V116" s="1"/>
      <c r="W116" s="1"/>
      <c r="Z116" s="3" t="s">
        <v>49</v>
      </c>
      <c r="AA116" s="34">
        <v>1527</v>
      </c>
      <c r="AB116" s="34">
        <v>96</v>
      </c>
      <c r="AC116" s="35">
        <v>96</v>
      </c>
      <c r="AD116" s="35">
        <v>120</v>
      </c>
      <c r="AE116" s="35">
        <v>120</v>
      </c>
      <c r="AF116" s="24">
        <v>330</v>
      </c>
      <c r="AG116" s="21">
        <f t="shared" si="186"/>
        <v>210</v>
      </c>
      <c r="AH116" s="42">
        <v>115.8</v>
      </c>
      <c r="AI116" s="42">
        <f>+(108.6)+(156)+(54)+(78)+(0)+(162)</f>
        <v>558.6</v>
      </c>
      <c r="AJ116" s="35">
        <v>120</v>
      </c>
      <c r="AK116" s="17">
        <f t="shared" si="183"/>
        <v>764.4</v>
      </c>
      <c r="AL116" s="42">
        <f>+(0)+(0)+(0)+(0)+(234)+(0)</f>
        <v>234</v>
      </c>
      <c r="AM116" s="42">
        <f>+(0)+(132.6)+(0)+(0)+(0)+(0)</f>
        <v>132.6</v>
      </c>
      <c r="AN116" s="35">
        <v>120</v>
      </c>
      <c r="AO116" s="24">
        <f t="shared" si="171"/>
        <v>1011</v>
      </c>
      <c r="AP116" s="42">
        <f t="shared" si="184"/>
        <v>0</v>
      </c>
      <c r="AQ116" s="42">
        <f>+(0)+(30)+(0)+(0)+(37.8)+(0)</f>
        <v>67.8</v>
      </c>
      <c r="AR116" s="68">
        <v>120</v>
      </c>
      <c r="AS116" s="71">
        <f t="shared" si="146"/>
        <v>958.8</v>
      </c>
      <c r="AT116" s="60">
        <f t="shared" si="185"/>
        <v>0</v>
      </c>
      <c r="AU116" s="60">
        <f>+(0)+(312)+(0)+(0)+(0)+(0)</f>
        <v>312</v>
      </c>
      <c r="AV116" s="94">
        <v>120</v>
      </c>
      <c r="AW116" s="71">
        <f t="shared" si="147"/>
        <v>1150.8</v>
      </c>
      <c r="AX116" s="60">
        <f>+(0)+(0)+(96)+(0)</f>
        <v>96</v>
      </c>
      <c r="AY116" s="113">
        <f>+(0)+(0)+(0)+(0)+(30)+(0)+(0)+(0)</f>
        <v>30</v>
      </c>
      <c r="AZ116" s="72">
        <v>120</v>
      </c>
      <c r="BA116" s="72">
        <f t="shared" si="155"/>
        <v>1156.8</v>
      </c>
      <c r="BB116" s="135">
        <f t="shared" si="106"/>
        <v>0</v>
      </c>
      <c r="BC116" s="135">
        <f>+(0)+(0)+(0)+(0)+(0)+(0)+(30)+(84)</f>
        <v>114</v>
      </c>
      <c r="BD116" s="50">
        <v>120</v>
      </c>
      <c r="BE116" s="50">
        <f t="shared" si="169"/>
        <v>1150.8</v>
      </c>
      <c r="BG116" s="207">
        <v>30</v>
      </c>
      <c r="BH116" s="207">
        <v>30</v>
      </c>
      <c r="BI116" s="139">
        <v>0</v>
      </c>
      <c r="BJ116" s="139">
        <v>0</v>
      </c>
      <c r="BK116" s="139">
        <v>0</v>
      </c>
      <c r="BL116" s="139">
        <v>0</v>
      </c>
      <c r="BM116" s="139">
        <v>0</v>
      </c>
      <c r="BN116" s="139">
        <v>0</v>
      </c>
      <c r="BO116" s="139">
        <v>0</v>
      </c>
      <c r="BP116" s="139">
        <v>0</v>
      </c>
      <c r="BQ116" s="139">
        <v>0</v>
      </c>
      <c r="BR116" s="139">
        <v>0</v>
      </c>
      <c r="BS116" s="206">
        <v>120</v>
      </c>
      <c r="BT116" s="205">
        <f t="shared" si="112"/>
        <v>1090.8</v>
      </c>
      <c r="BU116" s="153">
        <f t="shared" si="107"/>
        <v>2799</v>
      </c>
    </row>
    <row r="117" spans="1:73" ht="25.8" thickBot="1" x14ac:dyDescent="0.65">
      <c r="A117" s="53">
        <v>109</v>
      </c>
      <c r="B117" s="99" t="s">
        <v>244</v>
      </c>
      <c r="C117" s="100" t="s">
        <v>168</v>
      </c>
      <c r="D117" s="108">
        <v>43199</v>
      </c>
      <c r="E117" s="101">
        <v>3</v>
      </c>
      <c r="F117" s="101">
        <f t="shared" si="191"/>
        <v>1599.9900000000002</v>
      </c>
      <c r="G117" s="101">
        <f t="shared" si="192"/>
        <v>1050</v>
      </c>
      <c r="H117" s="102">
        <f t="shared" si="193"/>
        <v>2649.9900000000002</v>
      </c>
      <c r="I117" s="103">
        <v>12</v>
      </c>
      <c r="J117" s="81">
        <v>12</v>
      </c>
      <c r="L117" s="96">
        <v>46121</v>
      </c>
      <c r="M117" s="97"/>
      <c r="N117" s="98" t="str">
        <f t="shared" ca="1" si="173"/>
        <v>O.K.</v>
      </c>
      <c r="O117" s="1"/>
      <c r="P117" s="1"/>
      <c r="Q117" s="1"/>
      <c r="R117" s="1"/>
      <c r="S117" s="1"/>
      <c r="T117" s="1"/>
      <c r="U117" s="1"/>
      <c r="V117" s="1"/>
      <c r="W117" s="1"/>
      <c r="Z117" s="3" t="s">
        <v>244</v>
      </c>
      <c r="AA117" s="34">
        <v>0</v>
      </c>
      <c r="AB117" s="34">
        <v>0</v>
      </c>
      <c r="AC117" s="35">
        <v>0</v>
      </c>
      <c r="AD117" s="35">
        <v>120</v>
      </c>
      <c r="AE117" s="35">
        <v>120</v>
      </c>
      <c r="AF117" s="24">
        <v>156</v>
      </c>
      <c r="AG117" s="21">
        <f t="shared" si="186"/>
        <v>36</v>
      </c>
      <c r="AH117" s="42">
        <v>0</v>
      </c>
      <c r="AI117" s="42">
        <f>+(0)+(210)+(0)+(0)+(0)+(162)</f>
        <v>372</v>
      </c>
      <c r="AJ117" s="35">
        <v>120</v>
      </c>
      <c r="AK117" s="17">
        <f t="shared" si="183"/>
        <v>288</v>
      </c>
      <c r="AL117" s="42">
        <f>+(0)+(0)+(0)+(0)+(0)+(0)</f>
        <v>0</v>
      </c>
      <c r="AM117" s="42">
        <f>+(0)+(78)+(0)+(0)+(0)+(0)</f>
        <v>78</v>
      </c>
      <c r="AN117" s="35">
        <v>120</v>
      </c>
      <c r="AO117" s="24">
        <f t="shared" si="171"/>
        <v>246</v>
      </c>
      <c r="AP117" s="42">
        <f t="shared" si="184"/>
        <v>0</v>
      </c>
      <c r="AQ117" s="42">
        <f t="shared" si="184"/>
        <v>0</v>
      </c>
      <c r="AR117" s="68">
        <v>120</v>
      </c>
      <c r="AS117" s="71">
        <f t="shared" si="146"/>
        <v>126</v>
      </c>
      <c r="AT117" s="60">
        <f>+(96)+(0)+(0)+(30)+(54)+(0)</f>
        <v>180</v>
      </c>
      <c r="AU117" s="60">
        <f t="shared" si="185"/>
        <v>0</v>
      </c>
      <c r="AV117" s="94">
        <v>120</v>
      </c>
      <c r="AW117" s="71">
        <f t="shared" si="147"/>
        <v>186</v>
      </c>
      <c r="AX117" s="60">
        <f t="shared" si="187"/>
        <v>0</v>
      </c>
      <c r="AY117" s="113">
        <f>+(0)+(0)+(0)+(0)+(0)+(84)+(0)+(0)</f>
        <v>84</v>
      </c>
      <c r="AZ117" s="72">
        <v>120</v>
      </c>
      <c r="BA117" s="72">
        <f t="shared" si="155"/>
        <v>150</v>
      </c>
      <c r="BB117" s="135">
        <f t="shared" si="106"/>
        <v>0</v>
      </c>
      <c r="BC117" s="135">
        <f>+(0)+(30)+(0)+(0)+(0)+(0)+(0)+(0)</f>
        <v>30</v>
      </c>
      <c r="BD117" s="50">
        <v>120</v>
      </c>
      <c r="BE117" s="50">
        <f t="shared" si="169"/>
        <v>60</v>
      </c>
      <c r="BG117" s="207">
        <v>30</v>
      </c>
      <c r="BH117" s="139">
        <v>0</v>
      </c>
      <c r="BI117" s="139">
        <v>0</v>
      </c>
      <c r="BJ117" s="139">
        <v>0</v>
      </c>
      <c r="BK117" s="139">
        <v>0</v>
      </c>
      <c r="BL117" s="139">
        <v>0</v>
      </c>
      <c r="BM117" s="139">
        <v>0</v>
      </c>
      <c r="BN117" s="139">
        <v>0</v>
      </c>
      <c r="BO117" s="139">
        <v>0</v>
      </c>
      <c r="BP117" s="139">
        <v>0</v>
      </c>
      <c r="BQ117" s="139">
        <v>0</v>
      </c>
      <c r="BR117" s="139">
        <v>0</v>
      </c>
      <c r="BS117" s="206">
        <v>90</v>
      </c>
      <c r="BT117" s="205">
        <f t="shared" si="112"/>
        <v>0</v>
      </c>
      <c r="BU117" s="153">
        <f t="shared" si="107"/>
        <v>1050</v>
      </c>
    </row>
    <row r="118" spans="1:73" ht="25.8" thickBot="1" x14ac:dyDescent="0.65">
      <c r="A118" s="53">
        <v>110</v>
      </c>
      <c r="B118" s="169" t="s">
        <v>402</v>
      </c>
      <c r="C118" s="170" t="s">
        <v>165</v>
      </c>
      <c r="D118" s="171">
        <v>45204</v>
      </c>
      <c r="E118" s="172">
        <v>0</v>
      </c>
      <c r="F118" s="172">
        <f t="shared" ref="F118" si="194">+E118*$C$1</f>
        <v>0</v>
      </c>
      <c r="G118" s="172">
        <f t="shared" ref="G118" si="195">+BU118</f>
        <v>0</v>
      </c>
      <c r="H118" s="173">
        <f t="shared" ref="H118" si="196">+F118+G118</f>
        <v>0</v>
      </c>
      <c r="I118" s="174">
        <v>15</v>
      </c>
      <c r="J118" s="81">
        <v>15</v>
      </c>
      <c r="L118" s="124" t="s">
        <v>441</v>
      </c>
      <c r="M118" s="167"/>
      <c r="N118" s="168"/>
      <c r="O118" s="1"/>
      <c r="P118" s="1"/>
      <c r="Q118" s="1"/>
      <c r="R118" s="1"/>
      <c r="S118" s="1"/>
      <c r="T118" s="1"/>
      <c r="U118" s="1"/>
      <c r="V118" s="1"/>
      <c r="W118" s="1"/>
      <c r="Z118" s="3" t="s">
        <v>402</v>
      </c>
      <c r="AA118" s="34"/>
      <c r="AB118" s="34"/>
      <c r="AC118" s="35"/>
      <c r="AD118" s="35"/>
      <c r="AE118" s="35"/>
      <c r="AF118" s="24"/>
      <c r="AG118" s="21"/>
      <c r="AH118" s="42"/>
      <c r="AI118" s="42"/>
      <c r="AJ118" s="35"/>
      <c r="AK118" s="17"/>
      <c r="AL118" s="42"/>
      <c r="AM118" s="42"/>
      <c r="AN118" s="35"/>
      <c r="AO118" s="24"/>
      <c r="AP118" s="42"/>
      <c r="AQ118" s="42"/>
      <c r="AR118" s="68"/>
      <c r="AS118" s="71"/>
      <c r="AT118" s="60"/>
      <c r="AU118" s="60"/>
      <c r="AV118" s="94"/>
      <c r="AW118" s="71"/>
      <c r="AX118" s="60"/>
      <c r="AY118" s="113"/>
      <c r="AZ118" s="72"/>
      <c r="BA118" s="72"/>
      <c r="BB118" s="135">
        <f t="shared" si="106"/>
        <v>0</v>
      </c>
      <c r="BC118" s="135">
        <f t="shared" si="116"/>
        <v>0</v>
      </c>
      <c r="BD118" s="50">
        <v>0</v>
      </c>
      <c r="BE118" s="50">
        <f t="shared" si="169"/>
        <v>0</v>
      </c>
      <c r="BG118" s="139">
        <v>0</v>
      </c>
      <c r="BH118" s="139">
        <v>0</v>
      </c>
      <c r="BI118" s="139">
        <v>0</v>
      </c>
      <c r="BJ118" s="139">
        <v>0</v>
      </c>
      <c r="BK118" s="139">
        <v>0</v>
      </c>
      <c r="BL118" s="139">
        <v>0</v>
      </c>
      <c r="BM118" s="139">
        <v>0</v>
      </c>
      <c r="BN118" s="139">
        <v>0</v>
      </c>
      <c r="BO118" s="139">
        <v>0</v>
      </c>
      <c r="BP118" s="139">
        <v>0</v>
      </c>
      <c r="BQ118" s="139">
        <v>0</v>
      </c>
      <c r="BR118" s="139">
        <v>0</v>
      </c>
      <c r="BS118" s="206">
        <v>0</v>
      </c>
      <c r="BT118" s="205">
        <f t="shared" si="112"/>
        <v>0</v>
      </c>
      <c r="BU118" s="153">
        <f t="shared" si="107"/>
        <v>0</v>
      </c>
    </row>
    <row r="119" spans="1:73" ht="25.8" thickBot="1" x14ac:dyDescent="0.65">
      <c r="A119" s="53">
        <v>111</v>
      </c>
      <c r="B119" s="143" t="s">
        <v>245</v>
      </c>
      <c r="C119" s="144" t="s">
        <v>164</v>
      </c>
      <c r="D119" s="145">
        <v>42979</v>
      </c>
      <c r="E119" s="146">
        <v>4</v>
      </c>
      <c r="F119" s="146">
        <f t="shared" si="191"/>
        <v>2133.3200000000002</v>
      </c>
      <c r="G119" s="146">
        <f t="shared" si="192"/>
        <v>350.4</v>
      </c>
      <c r="H119" s="147">
        <f t="shared" si="193"/>
        <v>2483.7200000000003</v>
      </c>
      <c r="I119" s="148">
        <v>12</v>
      </c>
      <c r="J119" s="81">
        <v>12</v>
      </c>
      <c r="L119" s="149">
        <v>46544</v>
      </c>
      <c r="M119" s="150"/>
      <c r="N119" s="151" t="str">
        <f t="shared" ca="1" si="173"/>
        <v>O.K.</v>
      </c>
      <c r="O119" s="1"/>
      <c r="P119" s="1"/>
      <c r="Q119" s="1"/>
      <c r="R119" s="1"/>
      <c r="S119" s="1"/>
      <c r="T119" s="1"/>
      <c r="U119" s="1"/>
      <c r="V119" s="1"/>
      <c r="W119" s="1"/>
      <c r="Z119" s="3" t="s">
        <v>245</v>
      </c>
      <c r="AA119" s="34">
        <v>0</v>
      </c>
      <c r="AB119" s="34">
        <v>0</v>
      </c>
      <c r="AC119" s="35">
        <v>0</v>
      </c>
      <c r="AD119" s="35">
        <v>96</v>
      </c>
      <c r="AE119" s="35">
        <v>0</v>
      </c>
      <c r="AF119" s="24">
        <v>0</v>
      </c>
      <c r="AG119" s="21">
        <f t="shared" si="186"/>
        <v>0</v>
      </c>
      <c r="AH119" s="42">
        <v>0</v>
      </c>
      <c r="AI119" s="42">
        <f t="shared" si="177"/>
        <v>0</v>
      </c>
      <c r="AJ119" s="35">
        <v>0</v>
      </c>
      <c r="AK119" s="17">
        <f t="shared" si="183"/>
        <v>0</v>
      </c>
      <c r="AL119" s="42">
        <f>+(0)+(0)+(0)+(0)+(0)+(0)</f>
        <v>0</v>
      </c>
      <c r="AM119" s="42">
        <f>+(0)+(0)+(0)+(0)+(0)+(0)</f>
        <v>0</v>
      </c>
      <c r="AN119" s="35">
        <v>0</v>
      </c>
      <c r="AO119" s="24">
        <f t="shared" si="171"/>
        <v>0</v>
      </c>
      <c r="AP119" s="42">
        <f t="shared" si="184"/>
        <v>0</v>
      </c>
      <c r="AQ119" s="42">
        <f t="shared" si="184"/>
        <v>0</v>
      </c>
      <c r="AR119" s="68">
        <v>0</v>
      </c>
      <c r="AS119" s="71">
        <f t="shared" si="146"/>
        <v>0</v>
      </c>
      <c r="AT119" s="60">
        <f t="shared" si="185"/>
        <v>0</v>
      </c>
      <c r="AU119" s="60">
        <f t="shared" si="185"/>
        <v>0</v>
      </c>
      <c r="AV119" s="94">
        <v>0</v>
      </c>
      <c r="AW119" s="71">
        <f t="shared" si="147"/>
        <v>0</v>
      </c>
      <c r="AX119" s="60">
        <f t="shared" si="187"/>
        <v>0</v>
      </c>
      <c r="AY119" s="113">
        <f>+(0)+(0)+(96)+(62.4)+(0)+(0)+(0)+(0)</f>
        <v>158.4</v>
      </c>
      <c r="AZ119" s="72">
        <v>120</v>
      </c>
      <c r="BA119" s="72">
        <f t="shared" si="155"/>
        <v>38.400000000000006</v>
      </c>
      <c r="BB119" s="135">
        <f t="shared" si="106"/>
        <v>0</v>
      </c>
      <c r="BC119" s="135">
        <f>+(96)+(0)+(0)+(0)+(0)+(0)+(0)+(0)</f>
        <v>96</v>
      </c>
      <c r="BD119" s="50">
        <v>120</v>
      </c>
      <c r="BE119" s="50">
        <f t="shared" si="169"/>
        <v>14.400000000000006</v>
      </c>
      <c r="BG119" s="139">
        <v>0</v>
      </c>
      <c r="BH119" s="139">
        <v>0</v>
      </c>
      <c r="BI119" s="139">
        <v>0</v>
      </c>
      <c r="BJ119" s="139">
        <v>0</v>
      </c>
      <c r="BK119" s="139">
        <v>0</v>
      </c>
      <c r="BL119" s="139">
        <v>0</v>
      </c>
      <c r="BM119" s="139">
        <v>0</v>
      </c>
      <c r="BN119" s="139">
        <v>0</v>
      </c>
      <c r="BO119" s="139">
        <v>0</v>
      </c>
      <c r="BP119" s="139">
        <v>0</v>
      </c>
      <c r="BQ119" s="139">
        <v>0</v>
      </c>
      <c r="BR119" s="139">
        <v>0</v>
      </c>
      <c r="BS119" s="206">
        <v>14.4</v>
      </c>
      <c r="BT119" s="205">
        <f t="shared" si="112"/>
        <v>0</v>
      </c>
      <c r="BU119" s="153">
        <f t="shared" si="107"/>
        <v>350.4</v>
      </c>
    </row>
    <row r="120" spans="1:73" ht="25.8" thickBot="1" x14ac:dyDescent="0.65">
      <c r="A120" s="53">
        <v>112</v>
      </c>
      <c r="B120" s="143" t="s">
        <v>439</v>
      </c>
      <c r="C120" s="144" t="s">
        <v>168</v>
      </c>
      <c r="D120" s="145">
        <v>45323</v>
      </c>
      <c r="E120" s="146">
        <v>2</v>
      </c>
      <c r="F120" s="146">
        <f t="shared" ref="F120" si="197">+E120*$C$1</f>
        <v>1066.6600000000001</v>
      </c>
      <c r="G120" s="146">
        <f t="shared" ref="G120" si="198">+BU120</f>
        <v>675.6</v>
      </c>
      <c r="H120" s="147">
        <f t="shared" ref="H120" si="199">+F120+G120</f>
        <v>1742.2600000000002</v>
      </c>
      <c r="I120" s="148">
        <v>13</v>
      </c>
      <c r="J120" s="81">
        <v>13</v>
      </c>
      <c r="L120" s="149">
        <v>46615</v>
      </c>
      <c r="M120" s="150"/>
      <c r="N120" s="151" t="str">
        <f t="shared" ca="1" si="173"/>
        <v>O.K.</v>
      </c>
      <c r="O120" s="1"/>
      <c r="P120" s="1"/>
      <c r="Q120" s="1"/>
      <c r="R120" s="1"/>
      <c r="S120" s="1"/>
      <c r="T120" s="1"/>
      <c r="U120" s="1"/>
      <c r="V120" s="1"/>
      <c r="W120" s="1"/>
      <c r="Z120" s="3" t="s">
        <v>439</v>
      </c>
      <c r="AA120" s="70">
        <v>315.60000000000002</v>
      </c>
      <c r="AB120" s="34">
        <v>0</v>
      </c>
      <c r="AC120" s="35">
        <v>0</v>
      </c>
      <c r="AD120" s="35">
        <v>0</v>
      </c>
      <c r="AE120" s="35">
        <v>0</v>
      </c>
      <c r="AF120" s="24">
        <v>0</v>
      </c>
      <c r="AG120" s="21">
        <f t="shared" si="186"/>
        <v>0</v>
      </c>
      <c r="AH120" s="42">
        <v>0</v>
      </c>
      <c r="AI120" s="42">
        <v>0</v>
      </c>
      <c r="AJ120" s="35">
        <v>0</v>
      </c>
      <c r="AK120" s="17">
        <f t="shared" si="183"/>
        <v>0</v>
      </c>
      <c r="AL120" s="42">
        <v>0</v>
      </c>
      <c r="AM120" s="42">
        <v>0</v>
      </c>
      <c r="AN120" s="35">
        <v>0</v>
      </c>
      <c r="AO120" s="24">
        <f t="shared" si="171"/>
        <v>0</v>
      </c>
      <c r="AP120" s="42">
        <v>0</v>
      </c>
      <c r="AQ120" s="42">
        <v>0</v>
      </c>
      <c r="AR120" s="68">
        <v>0</v>
      </c>
      <c r="AS120" s="71">
        <f t="shared" si="146"/>
        <v>0</v>
      </c>
      <c r="AT120" s="60">
        <v>0</v>
      </c>
      <c r="AU120" s="60">
        <v>0</v>
      </c>
      <c r="AV120" s="94">
        <v>0</v>
      </c>
      <c r="AW120" s="71">
        <f t="shared" si="147"/>
        <v>0</v>
      </c>
      <c r="AX120" s="60">
        <f t="shared" si="187"/>
        <v>0</v>
      </c>
      <c r="AY120" s="113">
        <f>+(0)+(0)+(0)+(0)+(0)+(37.8)+(0)+(138)</f>
        <v>175.8</v>
      </c>
      <c r="AZ120" s="71">
        <v>120</v>
      </c>
      <c r="BA120" s="71">
        <f t="shared" ref="BA120" si="200">(+AW120+AX120+AY120)-AZ120</f>
        <v>55.800000000000011</v>
      </c>
      <c r="BB120" s="135">
        <f>+(0)+(0)+(0)+(54)</f>
        <v>54</v>
      </c>
      <c r="BC120" s="135">
        <f>+(0)+(0)+(0)+(216)+(0)+(0)+(0)+(120)</f>
        <v>336</v>
      </c>
      <c r="BD120" s="50">
        <v>120</v>
      </c>
      <c r="BE120" s="50">
        <f t="shared" si="169"/>
        <v>325.8</v>
      </c>
      <c r="BG120" s="139">
        <v>0</v>
      </c>
      <c r="BH120" s="139">
        <v>0</v>
      </c>
      <c r="BI120" s="139">
        <v>0</v>
      </c>
      <c r="BJ120" s="139">
        <v>0</v>
      </c>
      <c r="BK120" s="139">
        <v>0</v>
      </c>
      <c r="BL120" s="139">
        <v>0</v>
      </c>
      <c r="BM120" s="139">
        <v>0</v>
      </c>
      <c r="BN120" s="139">
        <v>0</v>
      </c>
      <c r="BO120" s="139">
        <v>0</v>
      </c>
      <c r="BP120" s="139">
        <v>0</v>
      </c>
      <c r="BQ120" s="139">
        <v>0</v>
      </c>
      <c r="BR120" s="139">
        <v>0</v>
      </c>
      <c r="BS120" s="206">
        <v>120</v>
      </c>
      <c r="BT120" s="205">
        <f t="shared" si="112"/>
        <v>205.8</v>
      </c>
      <c r="BU120" s="153">
        <f t="shared" si="107"/>
        <v>675.6</v>
      </c>
    </row>
    <row r="121" spans="1:73" ht="25.8" thickBot="1" x14ac:dyDescent="0.65">
      <c r="A121" s="53">
        <v>113</v>
      </c>
      <c r="B121" s="83" t="s">
        <v>272</v>
      </c>
      <c r="C121" s="84" t="s">
        <v>168</v>
      </c>
      <c r="D121" s="83" t="s">
        <v>273</v>
      </c>
      <c r="E121" s="85">
        <v>15</v>
      </c>
      <c r="F121" s="85">
        <f t="shared" si="191"/>
        <v>7999.9500000000007</v>
      </c>
      <c r="G121" s="85">
        <f t="shared" si="192"/>
        <v>2491.8000000000002</v>
      </c>
      <c r="H121" s="86">
        <f t="shared" si="193"/>
        <v>10491.75</v>
      </c>
      <c r="I121" s="87">
        <v>2</v>
      </c>
      <c r="J121" s="81">
        <v>2</v>
      </c>
      <c r="L121" s="88"/>
      <c r="M121" s="89"/>
      <c r="N121" s="90" t="s">
        <v>170</v>
      </c>
      <c r="Z121" s="3" t="s">
        <v>272</v>
      </c>
      <c r="AA121" s="34">
        <v>1770</v>
      </c>
      <c r="AB121" s="34">
        <v>96</v>
      </c>
      <c r="AC121" s="35">
        <v>96</v>
      </c>
      <c r="AD121" s="35">
        <v>120</v>
      </c>
      <c r="AE121" s="35">
        <v>108</v>
      </c>
      <c r="AF121" s="24">
        <v>108</v>
      </c>
      <c r="AG121" s="21">
        <f t="shared" si="186"/>
        <v>0</v>
      </c>
      <c r="AH121" s="42">
        <v>0</v>
      </c>
      <c r="AI121" s="42">
        <f>+(0)+(0)+(0)+(0)+(0)+(54)</f>
        <v>54</v>
      </c>
      <c r="AJ121" s="35">
        <v>54</v>
      </c>
      <c r="AK121" s="17">
        <f t="shared" si="183"/>
        <v>0</v>
      </c>
      <c r="AL121" s="42">
        <f t="shared" ref="AL121:AM391" si="201">+(0)+(0)+(0)+(0)+(0)+(0)</f>
        <v>0</v>
      </c>
      <c r="AM121" s="42">
        <f t="shared" si="201"/>
        <v>0</v>
      </c>
      <c r="AN121" s="35">
        <v>0</v>
      </c>
      <c r="AO121" s="65">
        <f t="shared" si="171"/>
        <v>0</v>
      </c>
      <c r="AP121" s="42">
        <f t="shared" si="184"/>
        <v>0</v>
      </c>
      <c r="AQ121" s="42">
        <f t="shared" si="184"/>
        <v>0</v>
      </c>
      <c r="AR121" s="68">
        <v>0</v>
      </c>
      <c r="AS121" s="71">
        <f t="shared" si="146"/>
        <v>0</v>
      </c>
      <c r="AT121" s="60">
        <f>+(0)+(0)+(0)+(0)+(37.8)+(0)</f>
        <v>37.799999999999997</v>
      </c>
      <c r="AU121" s="60">
        <f t="shared" si="185"/>
        <v>0</v>
      </c>
      <c r="AV121" s="94">
        <v>37.799999999999997</v>
      </c>
      <c r="AW121" s="71">
        <f t="shared" si="147"/>
        <v>0</v>
      </c>
      <c r="AX121" s="60">
        <f>+(0)+(0)+(0)+(78)</f>
        <v>78</v>
      </c>
      <c r="AY121" s="113">
        <f t="shared" si="149"/>
        <v>0</v>
      </c>
      <c r="AZ121" s="72">
        <v>78</v>
      </c>
      <c r="BA121" s="72">
        <f t="shared" si="155"/>
        <v>0</v>
      </c>
      <c r="BB121" s="135">
        <f>+(0)+(0)+(0)+(54)</f>
        <v>54</v>
      </c>
      <c r="BC121" s="135">
        <f>+(0)+(78)+(0)+(0)+(0)+(0)+(0)+(0)</f>
        <v>78</v>
      </c>
      <c r="BD121" s="50">
        <v>120</v>
      </c>
      <c r="BE121" s="50">
        <f t="shared" si="169"/>
        <v>12</v>
      </c>
      <c r="BG121" s="139">
        <v>0</v>
      </c>
      <c r="BH121" s="139">
        <v>0</v>
      </c>
      <c r="BI121" s="139">
        <v>0</v>
      </c>
      <c r="BJ121" s="139">
        <v>0</v>
      </c>
      <c r="BK121" s="139">
        <v>0</v>
      </c>
      <c r="BL121" s="139">
        <v>0</v>
      </c>
      <c r="BM121" s="139">
        <v>0</v>
      </c>
      <c r="BN121" s="139">
        <v>0</v>
      </c>
      <c r="BO121" s="139">
        <v>0</v>
      </c>
      <c r="BP121" s="139">
        <v>0</v>
      </c>
      <c r="BQ121" s="139">
        <v>0</v>
      </c>
      <c r="BR121" s="139">
        <v>0</v>
      </c>
      <c r="BS121" s="206">
        <v>12</v>
      </c>
      <c r="BT121" s="205">
        <f t="shared" si="112"/>
        <v>0</v>
      </c>
      <c r="BU121" s="153">
        <f t="shared" si="107"/>
        <v>2491.8000000000002</v>
      </c>
    </row>
    <row r="122" spans="1:73" ht="25.8" thickBot="1" x14ac:dyDescent="0.65">
      <c r="A122" s="53">
        <v>114</v>
      </c>
      <c r="B122" s="99" t="s">
        <v>380</v>
      </c>
      <c r="C122" s="100" t="s">
        <v>165</v>
      </c>
      <c r="D122" s="108">
        <v>44719</v>
      </c>
      <c r="E122" s="101">
        <v>1</v>
      </c>
      <c r="F122" s="101">
        <f t="shared" ref="F122" si="202">+E122*$C$1</f>
        <v>533.33000000000004</v>
      </c>
      <c r="G122" s="101">
        <f t="shared" ref="G122" si="203">+BU122</f>
        <v>1236</v>
      </c>
      <c r="H122" s="102">
        <f t="shared" ref="H122" si="204">+F122+G122</f>
        <v>1769.33</v>
      </c>
      <c r="I122" s="103">
        <v>13</v>
      </c>
      <c r="J122" s="81">
        <v>13</v>
      </c>
      <c r="K122" s="208" t="s">
        <v>309</v>
      </c>
      <c r="L122" s="96">
        <v>46180</v>
      </c>
      <c r="M122" s="97"/>
      <c r="N122" s="98" t="str">
        <f t="shared" ref="N122:N125" ca="1" si="205">IF($B$2&lt;L122,"O.K.","A L E R T A ")</f>
        <v>O.K.</v>
      </c>
      <c r="Z122" s="3" t="s">
        <v>380</v>
      </c>
      <c r="AA122" s="70">
        <v>486</v>
      </c>
      <c r="AB122" s="34">
        <v>0</v>
      </c>
      <c r="AC122" s="35">
        <v>0</v>
      </c>
      <c r="AD122" s="35">
        <v>0</v>
      </c>
      <c r="AE122" s="35">
        <v>0</v>
      </c>
      <c r="AF122" s="24">
        <v>0</v>
      </c>
      <c r="AG122" s="21">
        <f t="shared" si="186"/>
        <v>0</v>
      </c>
      <c r="AH122" s="42">
        <v>0</v>
      </c>
      <c r="AI122" s="42">
        <v>0</v>
      </c>
      <c r="AJ122" s="35">
        <v>0</v>
      </c>
      <c r="AK122" s="17">
        <f t="shared" si="183"/>
        <v>0</v>
      </c>
      <c r="AL122" s="42">
        <v>0</v>
      </c>
      <c r="AM122" s="42">
        <v>0</v>
      </c>
      <c r="AN122" s="35">
        <v>0</v>
      </c>
      <c r="AO122" s="24">
        <f t="shared" si="171"/>
        <v>0</v>
      </c>
      <c r="AP122" s="42">
        <f t="shared" si="184"/>
        <v>0</v>
      </c>
      <c r="AQ122" s="42">
        <f>+(0)+(30)+(0)+(0)+(67.2)+(54)</f>
        <v>151.19999999999999</v>
      </c>
      <c r="AR122" s="68">
        <v>150</v>
      </c>
      <c r="AS122" s="71">
        <f t="shared" si="146"/>
        <v>1.1999999999999886</v>
      </c>
      <c r="AT122" s="60">
        <f>+(0)+(360)+(0)+(0)+(54)+(189.6)</f>
        <v>603.6</v>
      </c>
      <c r="AU122" s="60">
        <f t="shared" si="185"/>
        <v>0</v>
      </c>
      <c r="AV122" s="94">
        <v>150</v>
      </c>
      <c r="AW122" s="71">
        <f t="shared" ref="AW122" si="206">+AS122+AT122+AU122-AV122</f>
        <v>454.79999999999995</v>
      </c>
      <c r="AX122" s="60">
        <f>+(0)+(0)+(0)+(240)</f>
        <v>240</v>
      </c>
      <c r="AY122" s="113">
        <f>+(120)+(0)+(0)+(0)+(0)+(0)+(0)+(120)</f>
        <v>240</v>
      </c>
      <c r="AZ122" s="71">
        <v>150</v>
      </c>
      <c r="BA122" s="71">
        <f t="shared" si="155"/>
        <v>784.8</v>
      </c>
      <c r="BB122" s="135">
        <f t="shared" si="106"/>
        <v>0</v>
      </c>
      <c r="BC122" s="135">
        <f>+(0)+(30)+(30)+(0)+(33)+(0)+(0)+(0)</f>
        <v>93</v>
      </c>
      <c r="BD122" s="50">
        <v>150</v>
      </c>
      <c r="BE122" s="50">
        <f t="shared" si="169"/>
        <v>727.8</v>
      </c>
      <c r="BG122" s="139">
        <v>0</v>
      </c>
      <c r="BH122" s="139">
        <v>0</v>
      </c>
      <c r="BI122" s="139">
        <v>0</v>
      </c>
      <c r="BJ122" s="139">
        <v>0</v>
      </c>
      <c r="BK122" s="139">
        <v>0</v>
      </c>
      <c r="BL122" s="139">
        <v>0</v>
      </c>
      <c r="BM122" s="139">
        <v>0</v>
      </c>
      <c r="BN122" s="139">
        <v>0</v>
      </c>
      <c r="BO122" s="139">
        <v>0</v>
      </c>
      <c r="BP122" s="139">
        <v>0</v>
      </c>
      <c r="BQ122" s="139">
        <v>0</v>
      </c>
      <c r="BR122" s="139">
        <v>0</v>
      </c>
      <c r="BS122" s="206">
        <v>150</v>
      </c>
      <c r="BT122" s="205">
        <f t="shared" si="112"/>
        <v>577.79999999999995</v>
      </c>
      <c r="BU122" s="153">
        <f t="shared" si="107"/>
        <v>1236</v>
      </c>
    </row>
    <row r="123" spans="1:73" ht="25.8" thickBot="1" x14ac:dyDescent="0.65">
      <c r="A123" s="53">
        <v>115</v>
      </c>
      <c r="B123" s="99" t="s">
        <v>53</v>
      </c>
      <c r="C123" s="100" t="s">
        <v>162</v>
      </c>
      <c r="D123" s="104" t="s">
        <v>133</v>
      </c>
      <c r="E123" s="101">
        <v>6</v>
      </c>
      <c r="F123" s="101">
        <f t="shared" si="191"/>
        <v>3199.9800000000005</v>
      </c>
      <c r="G123" s="101">
        <f t="shared" si="192"/>
        <v>1692</v>
      </c>
      <c r="H123" s="102">
        <f t="shared" si="193"/>
        <v>4891.9800000000005</v>
      </c>
      <c r="I123" s="103">
        <v>9</v>
      </c>
      <c r="J123" s="81">
        <v>9</v>
      </c>
      <c r="L123" s="96">
        <v>46258</v>
      </c>
      <c r="M123" s="97"/>
      <c r="N123" s="98" t="str">
        <f t="shared" ca="1" si="205"/>
        <v>O.K.</v>
      </c>
      <c r="Z123" s="3" t="s">
        <v>53</v>
      </c>
      <c r="AA123" s="36">
        <v>420</v>
      </c>
      <c r="AB123" s="34">
        <v>96</v>
      </c>
      <c r="AC123" s="35">
        <v>96</v>
      </c>
      <c r="AD123" s="35">
        <v>120</v>
      </c>
      <c r="AE123" s="35">
        <v>120</v>
      </c>
      <c r="AF123" s="24">
        <v>132.6</v>
      </c>
      <c r="AG123" s="21">
        <f t="shared" si="186"/>
        <v>12.599999999999994</v>
      </c>
      <c r="AH123" s="42">
        <v>0</v>
      </c>
      <c r="AI123" s="42">
        <f>+(0)+(54.6)+(0)+(0)+(54)+(54)</f>
        <v>162.6</v>
      </c>
      <c r="AJ123" s="35">
        <v>120</v>
      </c>
      <c r="AK123" s="17">
        <f t="shared" si="183"/>
        <v>55.199999999999989</v>
      </c>
      <c r="AL123" s="42">
        <f t="shared" si="201"/>
        <v>0</v>
      </c>
      <c r="AM123" s="42">
        <f>+(0)+(78)+(0)+(0)+(0)+(0)</f>
        <v>78</v>
      </c>
      <c r="AN123" s="35">
        <v>120</v>
      </c>
      <c r="AO123" s="24">
        <f t="shared" si="171"/>
        <v>13.199999999999989</v>
      </c>
      <c r="AP123" s="42">
        <f t="shared" si="184"/>
        <v>0</v>
      </c>
      <c r="AQ123" s="42">
        <f>+(0)+(0)+(108)+(0)+(75.6)+(0)</f>
        <v>183.6</v>
      </c>
      <c r="AR123" s="68">
        <v>120</v>
      </c>
      <c r="AS123" s="71">
        <f t="shared" si="146"/>
        <v>76.799999999999983</v>
      </c>
      <c r="AT123" s="60">
        <f>+(0)+(0)+(0)+(0)+(54)+(0)</f>
        <v>54</v>
      </c>
      <c r="AU123" s="60">
        <f t="shared" si="185"/>
        <v>0</v>
      </c>
      <c r="AV123" s="94">
        <v>120</v>
      </c>
      <c r="AW123" s="71">
        <f t="shared" si="147"/>
        <v>10.799999999999983</v>
      </c>
      <c r="AX123" s="60">
        <f>+(0)+(0)+(0)+(120)</f>
        <v>120</v>
      </c>
      <c r="AY123" s="113">
        <f>+(0)+(0)+(0)+(0)+(0)+(0)+(0)+(108)</f>
        <v>108</v>
      </c>
      <c r="AZ123" s="71">
        <v>120</v>
      </c>
      <c r="BA123" s="71">
        <f t="shared" si="155"/>
        <v>118.79999999999998</v>
      </c>
      <c r="BB123" s="135">
        <f>+(0)+(0)+(0)+(54)</f>
        <v>54</v>
      </c>
      <c r="BC123" s="135">
        <f>+(78)+(0)+(0)+(0)+(78)+(0)+(0)+(78)</f>
        <v>234</v>
      </c>
      <c r="BD123" s="50">
        <v>120</v>
      </c>
      <c r="BE123" s="50">
        <f t="shared" si="169"/>
        <v>286.79999999999995</v>
      </c>
      <c r="BG123" s="139">
        <v>0</v>
      </c>
      <c r="BH123" s="139">
        <v>0</v>
      </c>
      <c r="BI123" s="139">
        <v>0</v>
      </c>
      <c r="BJ123" s="139">
        <v>0</v>
      </c>
      <c r="BK123" s="139">
        <v>0</v>
      </c>
      <c r="BL123" s="139">
        <v>0</v>
      </c>
      <c r="BM123" s="139">
        <v>0</v>
      </c>
      <c r="BN123" s="139">
        <v>0</v>
      </c>
      <c r="BO123" s="139">
        <v>0</v>
      </c>
      <c r="BP123" s="139">
        <v>0</v>
      </c>
      <c r="BQ123" s="139">
        <v>0</v>
      </c>
      <c r="BR123" s="139">
        <v>0</v>
      </c>
      <c r="BS123" s="206">
        <v>120</v>
      </c>
      <c r="BT123" s="205">
        <f t="shared" si="112"/>
        <v>166.79999999999995</v>
      </c>
      <c r="BU123" s="153">
        <f t="shared" si="107"/>
        <v>1692</v>
      </c>
    </row>
    <row r="124" spans="1:73" ht="25.8" thickBot="1" x14ac:dyDescent="0.65">
      <c r="A124" s="53">
        <v>116</v>
      </c>
      <c r="B124" s="99" t="s">
        <v>306</v>
      </c>
      <c r="C124" s="100" t="s">
        <v>164</v>
      </c>
      <c r="D124" s="105">
        <v>44001</v>
      </c>
      <c r="E124" s="101">
        <v>2</v>
      </c>
      <c r="F124" s="101">
        <f t="shared" si="191"/>
        <v>1066.6600000000001</v>
      </c>
      <c r="G124" s="101">
        <f t="shared" si="192"/>
        <v>312</v>
      </c>
      <c r="H124" s="102">
        <f t="shared" si="193"/>
        <v>1378.66</v>
      </c>
      <c r="I124" s="103">
        <v>14</v>
      </c>
      <c r="J124" s="81">
        <v>14</v>
      </c>
      <c r="L124" s="96">
        <v>46192</v>
      </c>
      <c r="M124" s="97"/>
      <c r="N124" s="98" t="str">
        <f t="shared" ca="1" si="205"/>
        <v>O.K.</v>
      </c>
      <c r="Z124" s="3" t="s">
        <v>306</v>
      </c>
      <c r="AA124" s="36">
        <v>0</v>
      </c>
      <c r="AB124" s="34">
        <v>0</v>
      </c>
      <c r="AC124" s="35">
        <v>0</v>
      </c>
      <c r="AD124" s="35">
        <v>0</v>
      </c>
      <c r="AE124" s="35">
        <v>0</v>
      </c>
      <c r="AF124" s="24">
        <v>0</v>
      </c>
      <c r="AG124" s="21">
        <f t="shared" si="186"/>
        <v>0</v>
      </c>
      <c r="AH124" s="42">
        <v>0</v>
      </c>
      <c r="AI124" s="42">
        <f>+(0)+(0)+(0)+(0)+(54)+(162)</f>
        <v>216</v>
      </c>
      <c r="AJ124" s="35">
        <v>120</v>
      </c>
      <c r="AK124" s="17">
        <f t="shared" si="183"/>
        <v>96</v>
      </c>
      <c r="AL124" s="42">
        <f t="shared" si="201"/>
        <v>0</v>
      </c>
      <c r="AM124" s="42">
        <f t="shared" si="201"/>
        <v>0</v>
      </c>
      <c r="AN124" s="35">
        <v>96</v>
      </c>
      <c r="AO124" s="24">
        <f t="shared" si="171"/>
        <v>0</v>
      </c>
      <c r="AP124" s="42">
        <f t="shared" si="184"/>
        <v>0</v>
      </c>
      <c r="AQ124" s="42">
        <f>+(0)+(0)+(0)+(0)+(0)+(96)</f>
        <v>96</v>
      </c>
      <c r="AR124" s="68">
        <v>96</v>
      </c>
      <c r="AS124" s="71">
        <f t="shared" si="146"/>
        <v>0</v>
      </c>
      <c r="AT124" s="60">
        <f t="shared" si="185"/>
        <v>0</v>
      </c>
      <c r="AU124" s="60">
        <f t="shared" si="185"/>
        <v>0</v>
      </c>
      <c r="AV124" s="94">
        <v>0</v>
      </c>
      <c r="AW124" s="71">
        <f t="shared" si="147"/>
        <v>0</v>
      </c>
      <c r="AX124" s="60">
        <f t="shared" ref="AX124:AY368" si="207">+(0)+(0)+(0)+(0)</f>
        <v>0</v>
      </c>
      <c r="AY124" s="113">
        <f t="shared" si="149"/>
        <v>0</v>
      </c>
      <c r="AZ124" s="72">
        <v>0</v>
      </c>
      <c r="BA124" s="72">
        <f t="shared" si="155"/>
        <v>0</v>
      </c>
      <c r="BB124" s="135">
        <f t="shared" si="106"/>
        <v>0</v>
      </c>
      <c r="BC124" s="135">
        <f t="shared" si="116"/>
        <v>0</v>
      </c>
      <c r="BD124" s="50">
        <v>0</v>
      </c>
      <c r="BE124" s="50">
        <f t="shared" si="169"/>
        <v>0</v>
      </c>
      <c r="BG124" s="139">
        <v>0</v>
      </c>
      <c r="BH124" s="139">
        <v>0</v>
      </c>
      <c r="BI124" s="139">
        <v>0</v>
      </c>
      <c r="BJ124" s="139">
        <v>0</v>
      </c>
      <c r="BK124" s="139">
        <v>0</v>
      </c>
      <c r="BL124" s="139">
        <v>0</v>
      </c>
      <c r="BM124" s="139">
        <v>0</v>
      </c>
      <c r="BN124" s="139">
        <v>0</v>
      </c>
      <c r="BO124" s="139">
        <v>0</v>
      </c>
      <c r="BP124" s="139">
        <v>0</v>
      </c>
      <c r="BQ124" s="139">
        <v>0</v>
      </c>
      <c r="BR124" s="139">
        <v>0</v>
      </c>
      <c r="BS124" s="206">
        <v>0</v>
      </c>
      <c r="BT124" s="205">
        <f t="shared" si="112"/>
        <v>0</v>
      </c>
      <c r="BU124" s="153">
        <f t="shared" si="107"/>
        <v>312</v>
      </c>
    </row>
    <row r="125" spans="1:73" ht="25.8" thickBot="1" x14ac:dyDescent="0.65">
      <c r="A125" s="53">
        <v>117</v>
      </c>
      <c r="B125" s="99" t="s">
        <v>396</v>
      </c>
      <c r="C125" s="100" t="s">
        <v>354</v>
      </c>
      <c r="D125" s="105">
        <v>44986</v>
      </c>
      <c r="E125" s="101">
        <v>1</v>
      </c>
      <c r="F125" s="101">
        <f t="shared" si="191"/>
        <v>533.33000000000004</v>
      </c>
      <c r="G125" s="101">
        <f t="shared" ref="G125" si="208">+BU125</f>
        <v>480</v>
      </c>
      <c r="H125" s="102">
        <f t="shared" ref="H125" si="209">+F125+G125</f>
        <v>1013.33</v>
      </c>
      <c r="I125" s="103">
        <v>14</v>
      </c>
      <c r="J125" s="81">
        <v>14</v>
      </c>
      <c r="L125" s="96">
        <v>46193</v>
      </c>
      <c r="M125" s="97"/>
      <c r="N125" s="98" t="str">
        <f t="shared" ca="1" si="205"/>
        <v>O.K.</v>
      </c>
      <c r="Z125" s="3" t="s">
        <v>396</v>
      </c>
      <c r="AA125" s="36">
        <v>0</v>
      </c>
      <c r="AB125" s="34">
        <v>0</v>
      </c>
      <c r="AC125" s="35">
        <v>0</v>
      </c>
      <c r="AD125" s="35">
        <v>0</v>
      </c>
      <c r="AE125" s="35">
        <v>0</v>
      </c>
      <c r="AF125" s="24">
        <v>0</v>
      </c>
      <c r="AG125" s="21">
        <f t="shared" si="186"/>
        <v>0</v>
      </c>
      <c r="AH125" s="42">
        <v>0</v>
      </c>
      <c r="AI125" s="42">
        <v>0</v>
      </c>
      <c r="AJ125" s="35">
        <v>0</v>
      </c>
      <c r="AK125" s="17">
        <f t="shared" si="183"/>
        <v>0</v>
      </c>
      <c r="AL125" s="42">
        <v>0</v>
      </c>
      <c r="AM125" s="42">
        <v>0</v>
      </c>
      <c r="AN125" s="35">
        <v>0</v>
      </c>
      <c r="AO125" s="24">
        <f t="shared" si="171"/>
        <v>0</v>
      </c>
      <c r="AP125" s="42">
        <v>0</v>
      </c>
      <c r="AQ125" s="42">
        <v>0</v>
      </c>
      <c r="AR125" s="68">
        <v>0</v>
      </c>
      <c r="AS125" s="71">
        <f t="shared" si="146"/>
        <v>0</v>
      </c>
      <c r="AT125" s="60">
        <f>+(0)+(0)+(0)+(0)+(54)+(0)</f>
        <v>54</v>
      </c>
      <c r="AU125" s="60">
        <f>+(0)+(241.8)+(0)+(0)+(0)+(0)</f>
        <v>241.8</v>
      </c>
      <c r="AV125" s="94">
        <v>120</v>
      </c>
      <c r="AW125" s="71">
        <f t="shared" si="147"/>
        <v>175.8</v>
      </c>
      <c r="AX125" s="60">
        <f>+(0)+(0)+(324)+(78)</f>
        <v>402</v>
      </c>
      <c r="AY125" s="113">
        <f>+(0)+(0)+(78)+(0)+(0)+(0)+(0)+(21)</f>
        <v>99</v>
      </c>
      <c r="AZ125" s="71">
        <v>120</v>
      </c>
      <c r="BA125" s="71">
        <f t="shared" si="155"/>
        <v>556.79999999999995</v>
      </c>
      <c r="BB125" s="135">
        <f>+(0)+(0)+(0)+(54)</f>
        <v>54</v>
      </c>
      <c r="BC125" s="135">
        <f>+(0)+(0)+(0)+(0)+(0)+(0)+(96)+(0)</f>
        <v>96</v>
      </c>
      <c r="BD125" s="50">
        <v>120</v>
      </c>
      <c r="BE125" s="50">
        <f t="shared" si="169"/>
        <v>586.79999999999995</v>
      </c>
      <c r="BG125" s="139">
        <v>0</v>
      </c>
      <c r="BH125" s="139">
        <v>0</v>
      </c>
      <c r="BI125" s="139">
        <v>0</v>
      </c>
      <c r="BJ125" s="139">
        <v>0</v>
      </c>
      <c r="BK125" s="139">
        <v>0</v>
      </c>
      <c r="BL125" s="139">
        <v>0</v>
      </c>
      <c r="BM125" s="139">
        <v>0</v>
      </c>
      <c r="BN125" s="139">
        <v>0</v>
      </c>
      <c r="BO125" s="139">
        <v>0</v>
      </c>
      <c r="BP125" s="139">
        <v>0</v>
      </c>
      <c r="BQ125" s="139">
        <v>0</v>
      </c>
      <c r="BR125" s="139">
        <v>0</v>
      </c>
      <c r="BS125" s="206">
        <v>120</v>
      </c>
      <c r="BT125" s="205">
        <f t="shared" si="112"/>
        <v>466.79999999999995</v>
      </c>
      <c r="BU125" s="153">
        <f t="shared" si="107"/>
        <v>480</v>
      </c>
    </row>
    <row r="126" spans="1:73" ht="25.8" thickBot="1" x14ac:dyDescent="0.65">
      <c r="A126" s="53">
        <v>118</v>
      </c>
      <c r="B126" s="83" t="s">
        <v>54</v>
      </c>
      <c r="C126" s="84" t="s">
        <v>168</v>
      </c>
      <c r="D126" s="83" t="s">
        <v>134</v>
      </c>
      <c r="E126" s="85">
        <v>15</v>
      </c>
      <c r="F126" s="85">
        <f t="shared" si="191"/>
        <v>7999.9500000000007</v>
      </c>
      <c r="G126" s="85">
        <f t="shared" si="192"/>
        <v>3177</v>
      </c>
      <c r="H126" s="86">
        <f t="shared" si="193"/>
        <v>11176.95</v>
      </c>
      <c r="I126" s="87">
        <v>1</v>
      </c>
      <c r="J126" s="81">
        <v>1</v>
      </c>
      <c r="L126" s="88"/>
      <c r="M126" s="89"/>
      <c r="N126" s="90" t="s">
        <v>171</v>
      </c>
      <c r="Z126" s="3" t="s">
        <v>54</v>
      </c>
      <c r="AA126" s="36">
        <v>2769</v>
      </c>
      <c r="AB126" s="34">
        <v>96</v>
      </c>
      <c r="AC126" s="35">
        <v>108</v>
      </c>
      <c r="AD126" s="35">
        <v>96</v>
      </c>
      <c r="AE126" s="35">
        <v>0</v>
      </c>
      <c r="AF126" s="24">
        <v>0</v>
      </c>
      <c r="AG126" s="21">
        <f t="shared" si="186"/>
        <v>0</v>
      </c>
      <c r="AH126" s="42">
        <v>0</v>
      </c>
      <c r="AI126" s="42">
        <f>+(0)+(0)+(0)+(0)+(54)+(54)</f>
        <v>108</v>
      </c>
      <c r="AJ126" s="35">
        <v>108</v>
      </c>
      <c r="AK126" s="17">
        <f t="shared" si="183"/>
        <v>0</v>
      </c>
      <c r="AL126" s="42">
        <f t="shared" si="201"/>
        <v>0</v>
      </c>
      <c r="AM126" s="42">
        <f t="shared" si="201"/>
        <v>0</v>
      </c>
      <c r="AN126" s="35">
        <v>0</v>
      </c>
      <c r="AO126" s="65">
        <f t="shared" si="171"/>
        <v>0</v>
      </c>
      <c r="AP126" s="42">
        <f t="shared" si="184"/>
        <v>0</v>
      </c>
      <c r="AQ126" s="42">
        <f t="shared" si="184"/>
        <v>0</v>
      </c>
      <c r="AR126" s="68">
        <v>0</v>
      </c>
      <c r="AS126" s="71">
        <f t="shared" si="146"/>
        <v>0</v>
      </c>
      <c r="AT126" s="60">
        <f t="shared" si="185"/>
        <v>0</v>
      </c>
      <c r="AU126" s="60">
        <f t="shared" si="185"/>
        <v>0</v>
      </c>
      <c r="AV126" s="94">
        <v>0</v>
      </c>
      <c r="AW126" s="71">
        <f t="shared" si="147"/>
        <v>0</v>
      </c>
      <c r="AX126" s="60">
        <f t="shared" si="207"/>
        <v>0</v>
      </c>
      <c r="AY126" s="113">
        <f t="shared" si="149"/>
        <v>0</v>
      </c>
      <c r="AZ126" s="72">
        <v>0</v>
      </c>
      <c r="BA126" s="72">
        <f t="shared" si="155"/>
        <v>0</v>
      </c>
      <c r="BB126" s="135">
        <f t="shared" si="106"/>
        <v>0</v>
      </c>
      <c r="BC126" s="135">
        <f t="shared" si="116"/>
        <v>0</v>
      </c>
      <c r="BD126" s="50">
        <v>0</v>
      </c>
      <c r="BE126" s="50">
        <f t="shared" si="169"/>
        <v>0</v>
      </c>
      <c r="BG126" s="139">
        <v>0</v>
      </c>
      <c r="BH126" s="139">
        <v>0</v>
      </c>
      <c r="BI126" s="139">
        <v>0</v>
      </c>
      <c r="BJ126" s="139">
        <v>0</v>
      </c>
      <c r="BK126" s="139">
        <v>0</v>
      </c>
      <c r="BL126" s="139">
        <v>0</v>
      </c>
      <c r="BM126" s="139">
        <v>0</v>
      </c>
      <c r="BN126" s="139">
        <v>0</v>
      </c>
      <c r="BO126" s="139">
        <v>0</v>
      </c>
      <c r="BP126" s="139">
        <v>0</v>
      </c>
      <c r="BQ126" s="139">
        <v>0</v>
      </c>
      <c r="BR126" s="139">
        <v>0</v>
      </c>
      <c r="BS126" s="206">
        <v>0</v>
      </c>
      <c r="BT126" s="205">
        <f t="shared" si="112"/>
        <v>0</v>
      </c>
      <c r="BU126" s="153">
        <f t="shared" si="107"/>
        <v>3177</v>
      </c>
    </row>
    <row r="127" spans="1:73" ht="25.8" thickBot="1" x14ac:dyDescent="0.65">
      <c r="A127" s="53">
        <v>119</v>
      </c>
      <c r="B127" s="83" t="s">
        <v>55</v>
      </c>
      <c r="C127" s="84" t="s">
        <v>168</v>
      </c>
      <c r="D127" s="83" t="s">
        <v>135</v>
      </c>
      <c r="E127" s="85">
        <v>15</v>
      </c>
      <c r="F127" s="85">
        <f t="shared" si="191"/>
        <v>7999.9500000000007</v>
      </c>
      <c r="G127" s="85">
        <f t="shared" si="192"/>
        <v>2685.9700000000003</v>
      </c>
      <c r="H127" s="86">
        <f t="shared" si="193"/>
        <v>10685.920000000002</v>
      </c>
      <c r="I127" s="87">
        <v>2</v>
      </c>
      <c r="J127" s="81">
        <v>2</v>
      </c>
      <c r="L127" s="88"/>
      <c r="M127" s="89"/>
      <c r="N127" s="90" t="s">
        <v>171</v>
      </c>
      <c r="Z127" s="3" t="s">
        <v>55</v>
      </c>
      <c r="AA127" s="36">
        <v>1389.97</v>
      </c>
      <c r="AB127" s="34">
        <v>96</v>
      </c>
      <c r="AC127" s="35">
        <v>120</v>
      </c>
      <c r="AD127" s="35">
        <v>120</v>
      </c>
      <c r="AE127" s="35">
        <v>120</v>
      </c>
      <c r="AF127" s="24">
        <v>234</v>
      </c>
      <c r="AG127" s="21">
        <f t="shared" si="186"/>
        <v>114</v>
      </c>
      <c r="AH127" s="42">
        <f>78+54.6</f>
        <v>132.6</v>
      </c>
      <c r="AI127" s="42">
        <f>+(37.8)+(54.6)+(0)+(0)+(54)+(54)</f>
        <v>200.4</v>
      </c>
      <c r="AJ127" s="35">
        <v>120</v>
      </c>
      <c r="AK127" s="17">
        <f t="shared" si="183"/>
        <v>327</v>
      </c>
      <c r="AL127" s="42">
        <f t="shared" si="201"/>
        <v>0</v>
      </c>
      <c r="AM127" s="42">
        <f>+(0)+(183.6)+(0)+(0)+(0)+(0)</f>
        <v>183.6</v>
      </c>
      <c r="AN127" s="35">
        <v>120</v>
      </c>
      <c r="AO127" s="24">
        <f t="shared" si="171"/>
        <v>390.6</v>
      </c>
      <c r="AP127" s="42">
        <f t="shared" si="184"/>
        <v>0</v>
      </c>
      <c r="AQ127" s="42">
        <f>+(0)+(30)+(0)+(0)+(30)+(108)</f>
        <v>168</v>
      </c>
      <c r="AR127" s="68">
        <v>120</v>
      </c>
      <c r="AS127" s="71">
        <f t="shared" si="146"/>
        <v>438.6</v>
      </c>
      <c r="AT127" s="60">
        <f>+(0)+(0)+(0)+(0)+(108)+(0)</f>
        <v>108</v>
      </c>
      <c r="AU127" s="60">
        <f>+(0)+(108)+(0)+(0)+(0)+(0)</f>
        <v>108</v>
      </c>
      <c r="AV127" s="94">
        <v>120</v>
      </c>
      <c r="AW127" s="71">
        <f t="shared" si="147"/>
        <v>534.6</v>
      </c>
      <c r="AX127" s="60">
        <f t="shared" si="207"/>
        <v>0</v>
      </c>
      <c r="AY127" s="113">
        <f>+(0)+(0)+(96)+(0)+(0)+(78)+(78)+(0)</f>
        <v>252</v>
      </c>
      <c r="AZ127" s="72">
        <v>120</v>
      </c>
      <c r="BA127" s="72">
        <f t="shared" si="155"/>
        <v>666.6</v>
      </c>
      <c r="BB127" s="135">
        <f>+(0)+(0)+(0)+(132)</f>
        <v>132</v>
      </c>
      <c r="BC127" s="135">
        <f>+(0)+(0)+(0)+(0)+(78)+(0)+(0)+(0)</f>
        <v>78</v>
      </c>
      <c r="BD127" s="50">
        <v>120</v>
      </c>
      <c r="BE127" s="50">
        <f t="shared" si="169"/>
        <v>756.6</v>
      </c>
      <c r="BG127" s="139">
        <v>0</v>
      </c>
      <c r="BH127" s="139">
        <v>0</v>
      </c>
      <c r="BI127" s="139">
        <v>0</v>
      </c>
      <c r="BJ127" s="139">
        <v>0</v>
      </c>
      <c r="BK127" s="139">
        <v>0</v>
      </c>
      <c r="BL127" s="139">
        <v>0</v>
      </c>
      <c r="BM127" s="139">
        <v>0</v>
      </c>
      <c r="BN127" s="139">
        <v>0</v>
      </c>
      <c r="BO127" s="139">
        <v>0</v>
      </c>
      <c r="BP127" s="139">
        <v>0</v>
      </c>
      <c r="BQ127" s="139">
        <v>0</v>
      </c>
      <c r="BR127" s="139">
        <v>0</v>
      </c>
      <c r="BS127" s="206">
        <v>120</v>
      </c>
      <c r="BT127" s="205">
        <f t="shared" si="112"/>
        <v>636.6</v>
      </c>
      <c r="BU127" s="153">
        <f t="shared" si="107"/>
        <v>2685.9700000000003</v>
      </c>
    </row>
    <row r="128" spans="1:73" ht="25.8" thickBot="1" x14ac:dyDescent="0.65">
      <c r="A128" s="53">
        <v>120</v>
      </c>
      <c r="B128" s="143" t="s">
        <v>485</v>
      </c>
      <c r="C128" s="144" t="s">
        <v>354</v>
      </c>
      <c r="D128" s="145">
        <v>45698</v>
      </c>
      <c r="E128" s="146">
        <v>0</v>
      </c>
      <c r="F128" s="146">
        <f t="shared" si="191"/>
        <v>0</v>
      </c>
      <c r="G128" s="146">
        <f t="shared" ref="G128" si="210">+BU128</f>
        <v>108</v>
      </c>
      <c r="H128" s="147">
        <f t="shared" ref="H128" si="211">+F128+G128</f>
        <v>108</v>
      </c>
      <c r="I128" s="148">
        <v>15</v>
      </c>
      <c r="J128" s="81">
        <v>15</v>
      </c>
      <c r="L128" s="149">
        <v>46428</v>
      </c>
      <c r="M128" s="150"/>
      <c r="N128" s="151" t="str">
        <f>IF('[1]BIENIOS SANTA ANSELMA'!$B$2&lt;L128,"O.K.","A L E R T A ")</f>
        <v>O.K.</v>
      </c>
      <c r="Z128" s="3" t="str">
        <f>+B128</f>
        <v>MURILLO BEQUER SAIRE YADIR</v>
      </c>
      <c r="AA128" s="36"/>
      <c r="AB128" s="34"/>
      <c r="AC128" s="35"/>
      <c r="AD128" s="35"/>
      <c r="AE128" s="35"/>
      <c r="AF128" s="24"/>
      <c r="AG128" s="21"/>
      <c r="AH128" s="42"/>
      <c r="AI128" s="42"/>
      <c r="AJ128" s="35"/>
      <c r="AK128" s="17"/>
      <c r="AL128" s="42"/>
      <c r="AM128" s="42"/>
      <c r="AN128" s="35"/>
      <c r="AO128" s="24"/>
      <c r="AP128" s="42"/>
      <c r="AQ128" s="42"/>
      <c r="AR128" s="68"/>
      <c r="AS128" s="71"/>
      <c r="AT128" s="60"/>
      <c r="AU128" s="60"/>
      <c r="AV128" s="94"/>
      <c r="AW128" s="71"/>
      <c r="AX128" s="60"/>
      <c r="AY128" s="113"/>
      <c r="AZ128" s="72"/>
      <c r="BA128" s="72"/>
      <c r="BB128" s="135">
        <f t="shared" ref="BB128" si="212">+(0)+(0)+(0)+(0)</f>
        <v>0</v>
      </c>
      <c r="BC128" s="135">
        <f>+(0)+(0)+(0)+(0)+(0)+(0)+(0)+(108)</f>
        <v>108</v>
      </c>
      <c r="BD128" s="50">
        <v>108</v>
      </c>
      <c r="BE128" s="50">
        <f t="shared" si="169"/>
        <v>0</v>
      </c>
      <c r="BG128" s="139">
        <v>0</v>
      </c>
      <c r="BH128" s="139">
        <v>0</v>
      </c>
      <c r="BI128" s="139">
        <v>0</v>
      </c>
      <c r="BJ128" s="139">
        <v>0</v>
      </c>
      <c r="BK128" s="139">
        <v>0</v>
      </c>
      <c r="BL128" s="139">
        <v>0</v>
      </c>
      <c r="BM128" s="139">
        <v>0</v>
      </c>
      <c r="BN128" s="139">
        <v>0</v>
      </c>
      <c r="BO128" s="139">
        <v>0</v>
      </c>
      <c r="BP128" s="139">
        <v>0</v>
      </c>
      <c r="BQ128" s="139">
        <v>0</v>
      </c>
      <c r="BR128" s="139">
        <v>0</v>
      </c>
      <c r="BS128" s="206">
        <v>0</v>
      </c>
      <c r="BT128" s="205">
        <f t="shared" si="112"/>
        <v>0</v>
      </c>
      <c r="BU128" s="153">
        <f t="shared" si="107"/>
        <v>108</v>
      </c>
    </row>
    <row r="129" spans="1:73" ht="25.8" thickBot="1" x14ac:dyDescent="0.65">
      <c r="A129" s="53">
        <v>121</v>
      </c>
      <c r="B129" s="143" t="s">
        <v>430</v>
      </c>
      <c r="C129" s="144" t="s">
        <v>354</v>
      </c>
      <c r="D129" s="145">
        <v>45292</v>
      </c>
      <c r="E129" s="146">
        <v>2</v>
      </c>
      <c r="F129" s="146">
        <f>+E129*'[1]BIENIOS SANTA ANSELMA'!$C$1</f>
        <v>1066.6600000000001</v>
      </c>
      <c r="G129" s="146">
        <f>+BU129</f>
        <v>732</v>
      </c>
      <c r="H129" s="147">
        <f>+F129+G129</f>
        <v>1798.66</v>
      </c>
      <c r="I129" s="148">
        <v>13</v>
      </c>
      <c r="J129" s="81">
        <v>13</v>
      </c>
      <c r="L129" s="189">
        <v>46622</v>
      </c>
      <c r="M129" s="190"/>
      <c r="N129" s="151" t="str">
        <f>IF('[1]BIENIOS SANTA ANSELMA'!$B$2&lt;L129,"O.K.","A L E R T A ")</f>
        <v>O.K.</v>
      </c>
      <c r="Z129" s="3" t="s">
        <v>430</v>
      </c>
      <c r="AA129" s="49">
        <v>372</v>
      </c>
      <c r="AB129" s="34">
        <v>0</v>
      </c>
      <c r="AC129" s="35">
        <v>0</v>
      </c>
      <c r="AD129" s="35">
        <v>0</v>
      </c>
      <c r="AE129" s="35">
        <v>0</v>
      </c>
      <c r="AF129" s="24">
        <v>0</v>
      </c>
      <c r="AG129" s="21">
        <f>+AF129-AE129</f>
        <v>0</v>
      </c>
      <c r="AH129" s="42">
        <v>0</v>
      </c>
      <c r="AI129" s="42">
        <v>0</v>
      </c>
      <c r="AJ129" s="35">
        <v>0</v>
      </c>
      <c r="AK129" s="17">
        <f>+AG129+(AH129+AI129)-AJ129</f>
        <v>0</v>
      </c>
      <c r="AL129" s="42">
        <v>0</v>
      </c>
      <c r="AM129" s="42">
        <v>0</v>
      </c>
      <c r="AN129" s="35">
        <v>0</v>
      </c>
      <c r="AO129" s="24">
        <f>+AK129+AL129+AM129-AN129</f>
        <v>0</v>
      </c>
      <c r="AP129" s="42">
        <v>0</v>
      </c>
      <c r="AQ129" s="42">
        <v>0</v>
      </c>
      <c r="AR129" s="114">
        <v>0</v>
      </c>
      <c r="AS129" s="94">
        <f>+AO129+AP129+AQ129-AR129</f>
        <v>0</v>
      </c>
      <c r="AT129" s="60">
        <v>0</v>
      </c>
      <c r="AU129" s="60">
        <v>0</v>
      </c>
      <c r="AV129" s="94">
        <v>0</v>
      </c>
      <c r="AW129" s="94">
        <f>+AS129+AT129+AU129-AV129</f>
        <v>0</v>
      </c>
      <c r="AX129" s="113">
        <f>+(0)+(0)+(0)+(0)</f>
        <v>0</v>
      </c>
      <c r="AY129" s="113">
        <f>+(0)+(0)+(96)+(0)+(0)+(0)+(108)+(0)</f>
        <v>204</v>
      </c>
      <c r="AZ129" s="72">
        <v>120</v>
      </c>
      <c r="BA129" s="72">
        <f>+AW129+AX129+AY129-AZ129</f>
        <v>84</v>
      </c>
      <c r="BB129" s="135">
        <f>+(0)+(0)+(0)+(54)</f>
        <v>54</v>
      </c>
      <c r="BC129" s="135">
        <f>+(0)+(78)+(0)+(0)+(78)+(0)+(150)+(0)</f>
        <v>306</v>
      </c>
      <c r="BD129" s="50">
        <v>120</v>
      </c>
      <c r="BE129" s="50">
        <f t="shared" si="169"/>
        <v>324</v>
      </c>
      <c r="BG129" s="139">
        <v>0</v>
      </c>
      <c r="BH129" s="139">
        <v>0</v>
      </c>
      <c r="BI129" s="139">
        <v>0</v>
      </c>
      <c r="BJ129" s="139">
        <v>0</v>
      </c>
      <c r="BK129" s="139">
        <v>0</v>
      </c>
      <c r="BL129" s="139">
        <v>0</v>
      </c>
      <c r="BM129" s="139">
        <v>0</v>
      </c>
      <c r="BN129" s="139">
        <v>0</v>
      </c>
      <c r="BO129" s="139">
        <v>0</v>
      </c>
      <c r="BP129" s="139">
        <v>0</v>
      </c>
      <c r="BQ129" s="139">
        <v>0</v>
      </c>
      <c r="BR129" s="139">
        <v>0</v>
      </c>
      <c r="BS129" s="206">
        <v>120</v>
      </c>
      <c r="BT129" s="205">
        <f t="shared" si="112"/>
        <v>204</v>
      </c>
      <c r="BU129" s="153">
        <f t="shared" si="107"/>
        <v>732</v>
      </c>
    </row>
    <row r="130" spans="1:73" ht="25.8" thickBot="1" x14ac:dyDescent="0.65">
      <c r="A130" s="53">
        <v>122</v>
      </c>
      <c r="B130" s="99" t="s">
        <v>391</v>
      </c>
      <c r="C130" s="100" t="s">
        <v>165</v>
      </c>
      <c r="D130" s="108">
        <v>44944</v>
      </c>
      <c r="E130" s="101">
        <v>2</v>
      </c>
      <c r="F130" s="101">
        <f t="shared" si="191"/>
        <v>1066.6600000000001</v>
      </c>
      <c r="G130" s="101">
        <f t="shared" ref="G130" si="213">+BU130</f>
        <v>1004.4</v>
      </c>
      <c r="H130" s="102">
        <f t="shared" ref="H130" si="214">+F130+G130</f>
        <v>2071.06</v>
      </c>
      <c r="I130" s="103">
        <v>13</v>
      </c>
      <c r="J130" s="81">
        <v>13</v>
      </c>
      <c r="L130" s="96">
        <v>46291</v>
      </c>
      <c r="M130" s="97"/>
      <c r="N130" s="98" t="str">
        <f t="shared" ref="N130" ca="1" si="215">IF($B$2&lt;L130,"O.K.","A L E R T A ")</f>
        <v>O.K.</v>
      </c>
      <c r="Z130" s="3" t="s">
        <v>391</v>
      </c>
      <c r="AA130" s="49">
        <v>404.4</v>
      </c>
      <c r="AB130" s="34">
        <v>0</v>
      </c>
      <c r="AC130" s="35">
        <v>0</v>
      </c>
      <c r="AD130" s="35">
        <v>0</v>
      </c>
      <c r="AE130" s="35">
        <v>0</v>
      </c>
      <c r="AF130" s="24">
        <v>0</v>
      </c>
      <c r="AG130" s="21">
        <f t="shared" si="186"/>
        <v>0</v>
      </c>
      <c r="AH130" s="42">
        <v>0</v>
      </c>
      <c r="AI130" s="42">
        <v>0</v>
      </c>
      <c r="AJ130" s="35">
        <v>0</v>
      </c>
      <c r="AK130" s="17">
        <f t="shared" si="183"/>
        <v>0</v>
      </c>
      <c r="AL130" s="42">
        <v>0</v>
      </c>
      <c r="AM130" s="42">
        <v>0</v>
      </c>
      <c r="AN130" s="35">
        <v>0</v>
      </c>
      <c r="AO130" s="24">
        <f t="shared" si="171"/>
        <v>0</v>
      </c>
      <c r="AP130" s="42">
        <v>0</v>
      </c>
      <c r="AQ130" s="42">
        <v>0</v>
      </c>
      <c r="AR130" s="68">
        <v>0</v>
      </c>
      <c r="AS130" s="71">
        <f t="shared" si="146"/>
        <v>0</v>
      </c>
      <c r="AT130" s="60">
        <f>+(0)+(0)+(120)+(0)+(54)+(0)</f>
        <v>174</v>
      </c>
      <c r="AU130" s="60">
        <f>+(120)+(0)+(0)+(0)+(0)+(0)</f>
        <v>120</v>
      </c>
      <c r="AV130" s="94">
        <v>150</v>
      </c>
      <c r="AW130" s="71">
        <f t="shared" si="147"/>
        <v>144</v>
      </c>
      <c r="AX130" s="60">
        <f>+(0)+(0)+(0)+(294)</f>
        <v>294</v>
      </c>
      <c r="AY130" s="113">
        <f>+(0)+(0)+(0)+(0)+(30)+(0)+(0)+(252)</f>
        <v>282</v>
      </c>
      <c r="AZ130" s="71">
        <v>150</v>
      </c>
      <c r="BA130" s="71">
        <f t="shared" si="155"/>
        <v>570</v>
      </c>
      <c r="BB130" s="135">
        <f t="shared" si="106"/>
        <v>0</v>
      </c>
      <c r="BC130" s="135">
        <f>+(78)+(126)+(145.2)+(0)+(0)+(0)+(0)+(0)</f>
        <v>349.2</v>
      </c>
      <c r="BD130" s="50">
        <v>150</v>
      </c>
      <c r="BE130" s="50">
        <f t="shared" si="169"/>
        <v>769.2</v>
      </c>
      <c r="BG130" s="139">
        <v>0</v>
      </c>
      <c r="BH130" s="139">
        <v>0</v>
      </c>
      <c r="BI130" s="139">
        <v>0</v>
      </c>
      <c r="BJ130" s="139">
        <v>0</v>
      </c>
      <c r="BK130" s="139">
        <v>0</v>
      </c>
      <c r="BL130" s="139">
        <v>0</v>
      </c>
      <c r="BM130" s="139">
        <v>0</v>
      </c>
      <c r="BN130" s="139">
        <v>0</v>
      </c>
      <c r="BO130" s="139">
        <v>0</v>
      </c>
      <c r="BP130" s="139">
        <v>0</v>
      </c>
      <c r="BQ130" s="139">
        <v>0</v>
      </c>
      <c r="BR130" s="139">
        <v>0</v>
      </c>
      <c r="BS130" s="206">
        <v>150</v>
      </c>
      <c r="BT130" s="205">
        <f t="shared" si="112"/>
        <v>619.20000000000005</v>
      </c>
      <c r="BU130" s="153">
        <f t="shared" ref="BU130:BU193" si="216">SUM(AA130:AD130)+AE130+AJ130+AN130+AR130+AV130+AZ130+BD130+BS130</f>
        <v>1004.4</v>
      </c>
    </row>
    <row r="131" spans="1:73" ht="25.8" thickBot="1" x14ac:dyDescent="0.65">
      <c r="A131" s="53">
        <v>123</v>
      </c>
      <c r="B131" s="83" t="s">
        <v>57</v>
      </c>
      <c r="C131" s="84" t="s">
        <v>168</v>
      </c>
      <c r="D131" s="83" t="s">
        <v>110</v>
      </c>
      <c r="E131" s="85">
        <v>15</v>
      </c>
      <c r="F131" s="85">
        <f t="shared" si="191"/>
        <v>7999.9500000000007</v>
      </c>
      <c r="G131" s="85">
        <f t="shared" si="192"/>
        <v>3015.2</v>
      </c>
      <c r="H131" s="86">
        <f t="shared" si="193"/>
        <v>11015.150000000001</v>
      </c>
      <c r="I131" s="87">
        <v>1</v>
      </c>
      <c r="J131" s="81">
        <v>1</v>
      </c>
      <c r="L131" s="88"/>
      <c r="M131" s="89"/>
      <c r="N131" s="90" t="s">
        <v>171</v>
      </c>
      <c r="Z131" s="3" t="s">
        <v>57</v>
      </c>
      <c r="AA131" s="34">
        <v>2120</v>
      </c>
      <c r="AB131" s="34">
        <v>120</v>
      </c>
      <c r="AC131" s="35">
        <v>120</v>
      </c>
      <c r="AD131" s="35">
        <v>120</v>
      </c>
      <c r="AE131" s="35">
        <v>120</v>
      </c>
      <c r="AF131" s="24">
        <v>241.2</v>
      </c>
      <c r="AG131" s="21">
        <f t="shared" si="186"/>
        <v>121.19999999999999</v>
      </c>
      <c r="AH131" s="42">
        <v>78</v>
      </c>
      <c r="AI131" s="42">
        <f t="shared" si="177"/>
        <v>0</v>
      </c>
      <c r="AJ131" s="35">
        <v>120</v>
      </c>
      <c r="AK131" s="17">
        <f t="shared" si="183"/>
        <v>79.199999999999989</v>
      </c>
      <c r="AL131" s="42">
        <f t="shared" si="201"/>
        <v>0</v>
      </c>
      <c r="AM131" s="42">
        <f t="shared" si="201"/>
        <v>0</v>
      </c>
      <c r="AN131" s="35">
        <v>79.2</v>
      </c>
      <c r="AO131" s="24">
        <f t="shared" si="171"/>
        <v>0</v>
      </c>
      <c r="AP131" s="42">
        <f t="shared" si="184"/>
        <v>0</v>
      </c>
      <c r="AQ131" s="42">
        <f>+(0)+(0)+(0)+(0)+(0)+(108)</f>
        <v>108</v>
      </c>
      <c r="AR131" s="68">
        <v>108</v>
      </c>
      <c r="AS131" s="71">
        <f t="shared" si="146"/>
        <v>0</v>
      </c>
      <c r="AT131" s="60">
        <f>+(0)+(0)+(0)+(0)+(54)+(0)</f>
        <v>54</v>
      </c>
      <c r="AU131" s="60">
        <f t="shared" si="185"/>
        <v>0</v>
      </c>
      <c r="AV131" s="94">
        <v>54</v>
      </c>
      <c r="AW131" s="71">
        <f t="shared" si="147"/>
        <v>0</v>
      </c>
      <c r="AX131" s="60">
        <f t="shared" si="207"/>
        <v>0</v>
      </c>
      <c r="AY131" s="113">
        <f t="shared" si="149"/>
        <v>0</v>
      </c>
      <c r="AZ131" s="72">
        <v>0</v>
      </c>
      <c r="BA131" s="72">
        <f t="shared" si="155"/>
        <v>0</v>
      </c>
      <c r="BB131" s="135">
        <f>+(0)+(0)+(0)+(54)</f>
        <v>54</v>
      </c>
      <c r="BC131" s="135">
        <f t="shared" ref="BC131:BC399" si="217">+(0)+(0)+(0)+(0)+(0)+(0)+(0)+(0)</f>
        <v>0</v>
      </c>
      <c r="BD131" s="50">
        <v>54</v>
      </c>
      <c r="BE131" s="50">
        <f t="shared" ref="BE131:BE153" si="218">(BA131+BB131+BC131)-BD131</f>
        <v>0</v>
      </c>
      <c r="BG131" s="139">
        <v>0</v>
      </c>
      <c r="BH131" s="139">
        <v>0</v>
      </c>
      <c r="BI131" s="139">
        <v>0</v>
      </c>
      <c r="BJ131" s="139">
        <v>0</v>
      </c>
      <c r="BK131" s="139">
        <v>0</v>
      </c>
      <c r="BL131" s="139">
        <v>0</v>
      </c>
      <c r="BM131" s="139">
        <v>0</v>
      </c>
      <c r="BN131" s="139">
        <v>0</v>
      </c>
      <c r="BO131" s="139">
        <v>0</v>
      </c>
      <c r="BP131" s="139">
        <v>0</v>
      </c>
      <c r="BQ131" s="139">
        <v>0</v>
      </c>
      <c r="BR131" s="139">
        <v>0</v>
      </c>
      <c r="BS131" s="206">
        <v>0</v>
      </c>
      <c r="BT131" s="205">
        <f t="shared" ref="BT131:BT194" si="219">+BE131+SUM(BG131:BJ131)+SUM(BK131:BR131)-BS131</f>
        <v>0</v>
      </c>
      <c r="BU131" s="153">
        <f t="shared" si="216"/>
        <v>3015.2</v>
      </c>
    </row>
    <row r="132" spans="1:73" ht="25.8" thickBot="1" x14ac:dyDescent="0.65">
      <c r="A132" s="53">
        <v>124</v>
      </c>
      <c r="B132" s="83" t="s">
        <v>58</v>
      </c>
      <c r="C132" s="84" t="s">
        <v>162</v>
      </c>
      <c r="D132" s="83" t="s">
        <v>137</v>
      </c>
      <c r="E132" s="85">
        <v>15</v>
      </c>
      <c r="F132" s="85">
        <f t="shared" si="191"/>
        <v>7999.9500000000007</v>
      </c>
      <c r="G132" s="85">
        <f t="shared" si="192"/>
        <v>2615</v>
      </c>
      <c r="H132" s="86">
        <f t="shared" si="193"/>
        <v>10614.95</v>
      </c>
      <c r="I132" s="87">
        <v>2</v>
      </c>
      <c r="J132" s="81">
        <v>2</v>
      </c>
      <c r="L132" s="88"/>
      <c r="M132" s="89"/>
      <c r="N132" s="90" t="s">
        <v>171</v>
      </c>
      <c r="Z132" s="3" t="s">
        <v>58</v>
      </c>
      <c r="AA132" s="34">
        <v>2009</v>
      </c>
      <c r="AB132" s="34">
        <v>96</v>
      </c>
      <c r="AC132" s="35">
        <v>96</v>
      </c>
      <c r="AD132" s="35">
        <v>120</v>
      </c>
      <c r="AE132" s="35">
        <v>120</v>
      </c>
      <c r="AF132" s="24">
        <v>156</v>
      </c>
      <c r="AG132" s="21">
        <f t="shared" si="186"/>
        <v>36</v>
      </c>
      <c r="AH132" s="42">
        <v>0</v>
      </c>
      <c r="AI132" s="42">
        <f>+(0)+(0)+(0)+(0)+(0)+(54)</f>
        <v>54</v>
      </c>
      <c r="AJ132" s="35">
        <v>90</v>
      </c>
      <c r="AK132" s="17">
        <f t="shared" si="183"/>
        <v>0</v>
      </c>
      <c r="AL132" s="42">
        <f t="shared" si="201"/>
        <v>0</v>
      </c>
      <c r="AM132" s="42">
        <f>+(0)+(0)+(0)+(0)+(0)+(30)</f>
        <v>30</v>
      </c>
      <c r="AN132" s="35">
        <v>30</v>
      </c>
      <c r="AO132" s="65">
        <f t="shared" si="171"/>
        <v>0</v>
      </c>
      <c r="AP132" s="42">
        <f t="shared" si="184"/>
        <v>0</v>
      </c>
      <c r="AQ132" s="42">
        <f t="shared" si="184"/>
        <v>0</v>
      </c>
      <c r="AR132" s="68">
        <v>0</v>
      </c>
      <c r="AS132" s="71">
        <f t="shared" si="146"/>
        <v>0</v>
      </c>
      <c r="AT132" s="60">
        <f>+(0)+(0)+(0)+(0)+(54)+(0)</f>
        <v>54</v>
      </c>
      <c r="AU132" s="60">
        <f t="shared" si="185"/>
        <v>0</v>
      </c>
      <c r="AV132" s="94">
        <v>54</v>
      </c>
      <c r="AW132" s="71">
        <f t="shared" si="147"/>
        <v>0</v>
      </c>
      <c r="AX132" s="60">
        <f t="shared" si="207"/>
        <v>0</v>
      </c>
      <c r="AY132" s="113">
        <f t="shared" si="149"/>
        <v>0</v>
      </c>
      <c r="AZ132" s="72">
        <v>0</v>
      </c>
      <c r="BA132" s="72">
        <f t="shared" si="155"/>
        <v>0</v>
      </c>
      <c r="BB132" s="135">
        <f t="shared" ref="BB132:BB399" si="220">+(0)+(0)+(0)+(0)</f>
        <v>0</v>
      </c>
      <c r="BC132" s="135">
        <f t="shared" si="217"/>
        <v>0</v>
      </c>
      <c r="BD132" s="50">
        <v>0</v>
      </c>
      <c r="BE132" s="50">
        <f t="shared" si="218"/>
        <v>0</v>
      </c>
      <c r="BG132" s="139">
        <v>0</v>
      </c>
      <c r="BH132" s="139">
        <v>0</v>
      </c>
      <c r="BI132" s="139">
        <v>0</v>
      </c>
      <c r="BJ132" s="139">
        <v>0</v>
      </c>
      <c r="BK132" s="139">
        <v>0</v>
      </c>
      <c r="BL132" s="139">
        <v>0</v>
      </c>
      <c r="BM132" s="139">
        <v>0</v>
      </c>
      <c r="BN132" s="139">
        <v>0</v>
      </c>
      <c r="BO132" s="139">
        <v>0</v>
      </c>
      <c r="BP132" s="139">
        <v>0</v>
      </c>
      <c r="BQ132" s="139">
        <v>0</v>
      </c>
      <c r="BR132" s="139">
        <v>0</v>
      </c>
      <c r="BS132" s="206">
        <v>0</v>
      </c>
      <c r="BT132" s="205">
        <f t="shared" si="219"/>
        <v>0</v>
      </c>
      <c r="BU132" s="153">
        <f t="shared" si="216"/>
        <v>2615</v>
      </c>
    </row>
    <row r="133" spans="1:73" ht="25.8" thickBot="1" x14ac:dyDescent="0.65">
      <c r="A133" s="53">
        <v>125</v>
      </c>
      <c r="B133" s="99" t="s">
        <v>210</v>
      </c>
      <c r="C133" s="100" t="s">
        <v>162</v>
      </c>
      <c r="D133" s="108">
        <v>42762</v>
      </c>
      <c r="E133" s="101">
        <v>4</v>
      </c>
      <c r="F133" s="101">
        <f t="shared" si="191"/>
        <v>2133.3200000000002</v>
      </c>
      <c r="G133" s="101">
        <f t="shared" si="192"/>
        <v>1176</v>
      </c>
      <c r="H133" s="102">
        <f t="shared" si="193"/>
        <v>3309.32</v>
      </c>
      <c r="I133" s="103">
        <v>11</v>
      </c>
      <c r="J133" s="81">
        <v>11</v>
      </c>
      <c r="L133" s="96">
        <v>46113</v>
      </c>
      <c r="M133" s="97"/>
      <c r="N133" s="98" t="str">
        <f t="shared" ref="N133:N162" ca="1" si="221">IF($B$2&lt;L133,"O.K.","A L E R T A ")</f>
        <v>O.K.</v>
      </c>
      <c r="Z133" s="3" t="s">
        <v>210</v>
      </c>
      <c r="AA133" s="34">
        <v>0</v>
      </c>
      <c r="AB133" s="34">
        <v>0</v>
      </c>
      <c r="AC133" s="35">
        <v>96</v>
      </c>
      <c r="AD133" s="35">
        <v>120</v>
      </c>
      <c r="AE133" s="35">
        <v>120</v>
      </c>
      <c r="AF133" s="24">
        <v>156</v>
      </c>
      <c r="AG133" s="21">
        <f t="shared" si="186"/>
        <v>36</v>
      </c>
      <c r="AH133" s="42">
        <v>108</v>
      </c>
      <c r="AI133" s="42">
        <f>+(0)+(193.8)+(0)+(0)+(0)+(210)</f>
        <v>403.8</v>
      </c>
      <c r="AJ133" s="35">
        <v>120</v>
      </c>
      <c r="AK133" s="17">
        <f t="shared" si="183"/>
        <v>427.79999999999995</v>
      </c>
      <c r="AL133" s="42">
        <f>+(0)+(0)+(0)+(0)+(78)+(0)</f>
        <v>78</v>
      </c>
      <c r="AM133" s="42">
        <f t="shared" si="201"/>
        <v>0</v>
      </c>
      <c r="AN133" s="35">
        <v>120</v>
      </c>
      <c r="AO133" s="24">
        <f t="shared" si="171"/>
        <v>385.79999999999995</v>
      </c>
      <c r="AP133" s="42">
        <f>+(0)+(78)+(0)+(0)+(0)+(0)</f>
        <v>78</v>
      </c>
      <c r="AQ133" s="42">
        <f>+(0)+(0)+(216)+(0)+(84)+(0)</f>
        <v>300</v>
      </c>
      <c r="AR133" s="68">
        <v>120</v>
      </c>
      <c r="AS133" s="71">
        <f t="shared" si="146"/>
        <v>643.79999999999995</v>
      </c>
      <c r="AT133" s="60">
        <f>+(0)+(0)+(0)+(96)+(108)+(0)</f>
        <v>204</v>
      </c>
      <c r="AU133" s="60">
        <f>+(0)+(204)+(0)+(0)+(0)+(0)</f>
        <v>204</v>
      </c>
      <c r="AV133" s="94">
        <v>120</v>
      </c>
      <c r="AW133" s="71">
        <f t="shared" si="147"/>
        <v>931.8</v>
      </c>
      <c r="AX133" s="60">
        <f>+(0)+(0)+(120)+(0)</f>
        <v>120</v>
      </c>
      <c r="AY133" s="113">
        <f>+(0)+(0)+(78)+(0)+(0)+(0)+(78)+(0)</f>
        <v>156</v>
      </c>
      <c r="AZ133" s="72">
        <v>120</v>
      </c>
      <c r="BA133" s="72">
        <f t="shared" si="155"/>
        <v>1087.8</v>
      </c>
      <c r="BB133" s="135">
        <f>+(0)+(0)+(0)+(228)</f>
        <v>228</v>
      </c>
      <c r="BC133" s="135">
        <f>+(156)+(78)+(78)+(0)+(78)+(96)+(0)+(0)</f>
        <v>486</v>
      </c>
      <c r="BD133" s="50">
        <v>120</v>
      </c>
      <c r="BE133" s="50">
        <f t="shared" si="218"/>
        <v>1681.8</v>
      </c>
      <c r="BG133" s="139">
        <v>0</v>
      </c>
      <c r="BH133" s="139">
        <v>0</v>
      </c>
      <c r="BI133" s="139">
        <v>0</v>
      </c>
      <c r="BJ133" s="139">
        <v>0</v>
      </c>
      <c r="BK133" s="139">
        <v>0</v>
      </c>
      <c r="BL133" s="139">
        <v>0</v>
      </c>
      <c r="BM133" s="139">
        <v>0</v>
      </c>
      <c r="BN133" s="139">
        <v>0</v>
      </c>
      <c r="BO133" s="139">
        <v>0</v>
      </c>
      <c r="BP133" s="139">
        <v>0</v>
      </c>
      <c r="BQ133" s="139">
        <v>0</v>
      </c>
      <c r="BR133" s="139">
        <v>0</v>
      </c>
      <c r="BS133" s="206">
        <v>120</v>
      </c>
      <c r="BT133" s="205">
        <f t="shared" si="219"/>
        <v>1561.8</v>
      </c>
      <c r="BU133" s="153">
        <f t="shared" si="216"/>
        <v>1176</v>
      </c>
    </row>
    <row r="134" spans="1:73" ht="25.8" thickBot="1" x14ac:dyDescent="0.65">
      <c r="A134" s="53">
        <v>126</v>
      </c>
      <c r="B134" s="99" t="s">
        <v>283</v>
      </c>
      <c r="C134" s="100" t="s">
        <v>166</v>
      </c>
      <c r="D134" s="108">
        <v>43409</v>
      </c>
      <c r="E134" s="101">
        <v>3</v>
      </c>
      <c r="F134" s="101">
        <f t="shared" si="191"/>
        <v>1599.9900000000002</v>
      </c>
      <c r="G134" s="101">
        <f t="shared" si="192"/>
        <v>1200</v>
      </c>
      <c r="H134" s="102">
        <f t="shared" si="193"/>
        <v>2799.9900000000002</v>
      </c>
      <c r="I134" s="103">
        <v>12</v>
      </c>
      <c r="J134" s="81">
        <v>12</v>
      </c>
      <c r="L134" s="96">
        <v>46331</v>
      </c>
      <c r="M134" s="97"/>
      <c r="N134" s="98" t="str">
        <f t="shared" ca="1" si="221"/>
        <v>O.K.</v>
      </c>
      <c r="Z134" s="3" t="s">
        <v>283</v>
      </c>
      <c r="AA134" s="34">
        <v>0</v>
      </c>
      <c r="AB134" s="34">
        <v>0</v>
      </c>
      <c r="AC134" s="35">
        <v>0</v>
      </c>
      <c r="AD134" s="35">
        <v>0</v>
      </c>
      <c r="AE134" s="35">
        <v>150</v>
      </c>
      <c r="AF134" s="24">
        <v>156</v>
      </c>
      <c r="AG134" s="21">
        <f t="shared" si="186"/>
        <v>6</v>
      </c>
      <c r="AH134" s="42">
        <f>216.6+30+108+54+78+78</f>
        <v>564.6</v>
      </c>
      <c r="AI134" s="42">
        <f>+(78)+(0)+(0)+(0)+(108)+(270)</f>
        <v>456</v>
      </c>
      <c r="AJ134" s="35">
        <v>150</v>
      </c>
      <c r="AK134" s="17">
        <f t="shared" si="183"/>
        <v>876.59999999999991</v>
      </c>
      <c r="AL134" s="42">
        <f>+(0)+(0)+(108)+(0)+(0)+(108)</f>
        <v>216</v>
      </c>
      <c r="AM134" s="42">
        <f>+(0)+(78)+(0)+(0)+(67.2)+(67.2)</f>
        <v>212.39999999999998</v>
      </c>
      <c r="AN134" s="35">
        <v>150</v>
      </c>
      <c r="AO134" s="24">
        <f t="shared" si="171"/>
        <v>1155</v>
      </c>
      <c r="AP134" s="42">
        <f>+(0)+(0)+(0)+(0)+(75.6)+(0)</f>
        <v>75.599999999999994</v>
      </c>
      <c r="AQ134" s="42">
        <f>+(43.2)+(0)+(138)+(0)+(108)+(108)</f>
        <v>397.2</v>
      </c>
      <c r="AR134" s="68">
        <v>150</v>
      </c>
      <c r="AS134" s="71">
        <f t="shared" si="146"/>
        <v>1477.8</v>
      </c>
      <c r="AT134" s="60">
        <f>+(0)+(0)+(120)+(0)+(54)+(0)</f>
        <v>174</v>
      </c>
      <c r="AU134" s="60">
        <f>+(84)+(0)+(0)+(0)+(0)+(0)</f>
        <v>84</v>
      </c>
      <c r="AV134" s="94">
        <v>150</v>
      </c>
      <c r="AW134" s="71">
        <f t="shared" si="147"/>
        <v>1585.8</v>
      </c>
      <c r="AX134" s="60">
        <f t="shared" si="207"/>
        <v>0</v>
      </c>
      <c r="AY134" s="113">
        <f t="shared" si="149"/>
        <v>0</v>
      </c>
      <c r="AZ134" s="72">
        <v>150</v>
      </c>
      <c r="BA134" s="72">
        <f t="shared" si="155"/>
        <v>1435.8</v>
      </c>
      <c r="BB134" s="135">
        <f t="shared" si="220"/>
        <v>0</v>
      </c>
      <c r="BC134" s="135">
        <f>+(0)+(0)+(0)+(0)+(120)+(0)+(0)+(0)</f>
        <v>120</v>
      </c>
      <c r="BD134" s="50">
        <v>150</v>
      </c>
      <c r="BE134" s="50">
        <f t="shared" si="218"/>
        <v>1405.8</v>
      </c>
      <c r="BG134" s="139">
        <v>0</v>
      </c>
      <c r="BH134" s="139">
        <v>0</v>
      </c>
      <c r="BI134" s="139">
        <v>0</v>
      </c>
      <c r="BJ134" s="139">
        <v>0</v>
      </c>
      <c r="BK134" s="139">
        <v>0</v>
      </c>
      <c r="BL134" s="139">
        <v>0</v>
      </c>
      <c r="BM134" s="139">
        <v>0</v>
      </c>
      <c r="BN134" s="139">
        <v>0</v>
      </c>
      <c r="BO134" s="139">
        <v>0</v>
      </c>
      <c r="BP134" s="139">
        <v>0</v>
      </c>
      <c r="BQ134" s="139">
        <v>0</v>
      </c>
      <c r="BR134" s="139">
        <v>0</v>
      </c>
      <c r="BS134" s="206">
        <v>150</v>
      </c>
      <c r="BT134" s="205">
        <f t="shared" si="219"/>
        <v>1255.8</v>
      </c>
      <c r="BU134" s="153">
        <f t="shared" si="216"/>
        <v>1200</v>
      </c>
    </row>
    <row r="135" spans="1:73" ht="25.8" thickBot="1" x14ac:dyDescent="0.65">
      <c r="A135" s="53">
        <v>127</v>
      </c>
      <c r="B135" s="104" t="s">
        <v>61</v>
      </c>
      <c r="C135" s="100" t="s">
        <v>166</v>
      </c>
      <c r="D135" s="99" t="s">
        <v>139</v>
      </c>
      <c r="E135" s="101">
        <v>6</v>
      </c>
      <c r="F135" s="101">
        <f t="shared" si="191"/>
        <v>3199.9800000000005</v>
      </c>
      <c r="G135" s="101">
        <f t="shared" si="192"/>
        <v>1131</v>
      </c>
      <c r="H135" s="102">
        <f t="shared" si="193"/>
        <v>4330.9800000000005</v>
      </c>
      <c r="I135" s="103">
        <v>10</v>
      </c>
      <c r="J135" s="81">
        <v>10</v>
      </c>
      <c r="L135" s="96">
        <v>46241</v>
      </c>
      <c r="M135" s="97"/>
      <c r="N135" s="98" t="str">
        <f t="shared" ca="1" si="221"/>
        <v>O.K.</v>
      </c>
      <c r="Z135" s="3" t="s">
        <v>61</v>
      </c>
      <c r="AA135" s="34">
        <f>375+210</f>
        <v>585</v>
      </c>
      <c r="AB135" s="34">
        <v>96</v>
      </c>
      <c r="AC135" s="35">
        <v>0</v>
      </c>
      <c r="AD135" s="35">
        <v>96</v>
      </c>
      <c r="AE135" s="35">
        <v>0</v>
      </c>
      <c r="AF135" s="24">
        <v>0</v>
      </c>
      <c r="AG135" s="21">
        <f t="shared" si="186"/>
        <v>0</v>
      </c>
      <c r="AH135" s="42">
        <v>0</v>
      </c>
      <c r="AI135" s="42">
        <f t="shared" si="177"/>
        <v>0</v>
      </c>
      <c r="AJ135" s="35">
        <v>0</v>
      </c>
      <c r="AK135" s="17">
        <f t="shared" si="183"/>
        <v>0</v>
      </c>
      <c r="AL135" s="42">
        <f t="shared" si="201"/>
        <v>0</v>
      </c>
      <c r="AM135" s="42">
        <f t="shared" si="201"/>
        <v>0</v>
      </c>
      <c r="AN135" s="35">
        <v>0</v>
      </c>
      <c r="AO135" s="24">
        <f t="shared" si="171"/>
        <v>0</v>
      </c>
      <c r="AP135" s="42">
        <f t="shared" si="184"/>
        <v>0</v>
      </c>
      <c r="AQ135" s="42">
        <f t="shared" si="184"/>
        <v>0</v>
      </c>
      <c r="AR135" s="68">
        <v>0</v>
      </c>
      <c r="AS135" s="71">
        <f t="shared" si="146"/>
        <v>0</v>
      </c>
      <c r="AT135" s="60">
        <f>+(0)+(0)+(0)+(0)+(54)+(0)</f>
        <v>54</v>
      </c>
      <c r="AU135" s="60">
        <f t="shared" si="185"/>
        <v>0</v>
      </c>
      <c r="AV135" s="94">
        <v>54</v>
      </c>
      <c r="AW135" s="71">
        <f t="shared" si="147"/>
        <v>0</v>
      </c>
      <c r="AX135" s="60">
        <f t="shared" si="207"/>
        <v>0</v>
      </c>
      <c r="AY135" s="113">
        <f t="shared" si="149"/>
        <v>0</v>
      </c>
      <c r="AZ135" s="72">
        <v>0</v>
      </c>
      <c r="BA135" s="72">
        <f t="shared" si="155"/>
        <v>0</v>
      </c>
      <c r="BB135" s="135">
        <f>+(191.4)+(0)+(0)+(0)</f>
        <v>191.4</v>
      </c>
      <c r="BC135" s="135">
        <f>+(0)+(120)+(0)+(0)+(0)+(0)+(0)+(78)</f>
        <v>198</v>
      </c>
      <c r="BD135" s="50">
        <v>150</v>
      </c>
      <c r="BE135" s="50">
        <f t="shared" si="218"/>
        <v>239.39999999999998</v>
      </c>
      <c r="BG135" s="139">
        <v>0</v>
      </c>
      <c r="BH135" s="139">
        <v>0</v>
      </c>
      <c r="BI135" s="139">
        <v>0</v>
      </c>
      <c r="BJ135" s="139">
        <v>0</v>
      </c>
      <c r="BK135" s="139">
        <v>0</v>
      </c>
      <c r="BL135" s="139">
        <v>0</v>
      </c>
      <c r="BM135" s="139">
        <v>0</v>
      </c>
      <c r="BN135" s="139">
        <v>0</v>
      </c>
      <c r="BO135" s="139">
        <v>0</v>
      </c>
      <c r="BP135" s="139">
        <v>0</v>
      </c>
      <c r="BQ135" s="139">
        <v>0</v>
      </c>
      <c r="BR135" s="139">
        <v>0</v>
      </c>
      <c r="BS135" s="206">
        <v>150</v>
      </c>
      <c r="BT135" s="205">
        <f t="shared" si="219"/>
        <v>89.399999999999977</v>
      </c>
      <c r="BU135" s="153">
        <f t="shared" si="216"/>
        <v>1131</v>
      </c>
    </row>
    <row r="136" spans="1:73" ht="25.8" thickBot="1" x14ac:dyDescent="0.65">
      <c r="A136" s="53">
        <v>128</v>
      </c>
      <c r="B136" s="104" t="s">
        <v>62</v>
      </c>
      <c r="C136" s="100" t="s">
        <v>168</v>
      </c>
      <c r="D136" s="104" t="s">
        <v>140</v>
      </c>
      <c r="E136" s="101">
        <v>5</v>
      </c>
      <c r="F136" s="101">
        <f t="shared" si="191"/>
        <v>2666.65</v>
      </c>
      <c r="G136" s="101">
        <f t="shared" si="192"/>
        <v>1479</v>
      </c>
      <c r="H136" s="102">
        <f t="shared" si="193"/>
        <v>4145.6499999999996</v>
      </c>
      <c r="I136" s="103">
        <v>10</v>
      </c>
      <c r="J136" s="81">
        <v>10</v>
      </c>
      <c r="L136" s="96">
        <v>46054</v>
      </c>
      <c r="M136" s="97"/>
      <c r="N136" s="98" t="str">
        <f t="shared" ca="1" si="221"/>
        <v>O.K.</v>
      </c>
      <c r="Z136" s="3" t="s">
        <v>62</v>
      </c>
      <c r="AA136" s="34">
        <v>195</v>
      </c>
      <c r="AB136" s="34">
        <v>120</v>
      </c>
      <c r="AC136" s="35">
        <v>96</v>
      </c>
      <c r="AD136" s="35">
        <v>120</v>
      </c>
      <c r="AE136" s="35">
        <v>120</v>
      </c>
      <c r="AF136" s="24">
        <v>156</v>
      </c>
      <c r="AG136" s="21">
        <f t="shared" si="186"/>
        <v>36</v>
      </c>
      <c r="AH136" s="42">
        <v>186</v>
      </c>
      <c r="AI136" s="42">
        <f>+(0)+(0)+(54)+(0)+(54)+(54)</f>
        <v>162</v>
      </c>
      <c r="AJ136" s="35">
        <v>120</v>
      </c>
      <c r="AK136" s="17">
        <f t="shared" si="183"/>
        <v>264</v>
      </c>
      <c r="AL136" s="42">
        <f t="shared" si="201"/>
        <v>0</v>
      </c>
      <c r="AM136" s="42">
        <f t="shared" si="201"/>
        <v>0</v>
      </c>
      <c r="AN136" s="35">
        <v>120</v>
      </c>
      <c r="AO136" s="24">
        <f t="shared" si="171"/>
        <v>144</v>
      </c>
      <c r="AP136" s="42">
        <f t="shared" si="184"/>
        <v>0</v>
      </c>
      <c r="AQ136" s="42">
        <f>+(0)+(0)+(0)+(0)+(0)+(108)</f>
        <v>108</v>
      </c>
      <c r="AR136" s="68">
        <v>120</v>
      </c>
      <c r="AS136" s="71">
        <f t="shared" si="146"/>
        <v>132</v>
      </c>
      <c r="AT136" s="60">
        <f>+(0)+(0)+(0)+(0)+(54)+(0)</f>
        <v>54</v>
      </c>
      <c r="AU136" s="60">
        <f t="shared" si="185"/>
        <v>0</v>
      </c>
      <c r="AV136" s="94">
        <v>120</v>
      </c>
      <c r="AW136" s="71">
        <f t="shared" si="147"/>
        <v>66</v>
      </c>
      <c r="AX136" s="60">
        <f t="shared" si="207"/>
        <v>0</v>
      </c>
      <c r="AY136" s="113">
        <f>+(0)+(0)+(96)+(0)+(0)+(0)+(186)+(0)</f>
        <v>282</v>
      </c>
      <c r="AZ136" s="72">
        <v>120</v>
      </c>
      <c r="BA136" s="72">
        <f t="shared" si="155"/>
        <v>228</v>
      </c>
      <c r="BB136" s="135">
        <f t="shared" si="220"/>
        <v>0</v>
      </c>
      <c r="BC136" s="135">
        <f t="shared" si="217"/>
        <v>0</v>
      </c>
      <c r="BD136" s="50">
        <v>120</v>
      </c>
      <c r="BE136" s="50">
        <f t="shared" si="218"/>
        <v>108</v>
      </c>
      <c r="BG136" s="139">
        <v>0</v>
      </c>
      <c r="BH136" s="139">
        <v>0</v>
      </c>
      <c r="BI136" s="139">
        <v>0</v>
      </c>
      <c r="BJ136" s="139">
        <v>0</v>
      </c>
      <c r="BK136" s="139">
        <v>0</v>
      </c>
      <c r="BL136" s="139">
        <v>0</v>
      </c>
      <c r="BM136" s="139">
        <v>0</v>
      </c>
      <c r="BN136" s="139">
        <v>0</v>
      </c>
      <c r="BO136" s="139">
        <v>0</v>
      </c>
      <c r="BP136" s="139">
        <v>0</v>
      </c>
      <c r="BQ136" s="139">
        <v>0</v>
      </c>
      <c r="BR136" s="139">
        <v>0</v>
      </c>
      <c r="BS136" s="206">
        <v>108</v>
      </c>
      <c r="BT136" s="205">
        <f t="shared" si="219"/>
        <v>0</v>
      </c>
      <c r="BU136" s="153">
        <f t="shared" si="216"/>
        <v>1479</v>
      </c>
    </row>
    <row r="137" spans="1:73" ht="25.8" thickBot="1" x14ac:dyDescent="0.65">
      <c r="A137" s="53">
        <v>129</v>
      </c>
      <c r="B137" s="99" t="s">
        <v>297</v>
      </c>
      <c r="C137" s="100" t="s">
        <v>164</v>
      </c>
      <c r="D137" s="105">
        <v>43852</v>
      </c>
      <c r="E137" s="101">
        <v>2</v>
      </c>
      <c r="F137" s="101">
        <f t="shared" si="191"/>
        <v>1066.6600000000001</v>
      </c>
      <c r="G137" s="101">
        <f t="shared" si="192"/>
        <v>840</v>
      </c>
      <c r="H137" s="102">
        <f t="shared" si="193"/>
        <v>1906.66</v>
      </c>
      <c r="I137" s="103">
        <v>13</v>
      </c>
      <c r="J137" s="81">
        <v>13</v>
      </c>
      <c r="L137" s="96">
        <v>46044</v>
      </c>
      <c r="M137" s="97"/>
      <c r="N137" s="98" t="str">
        <f t="shared" ca="1" si="221"/>
        <v>O.K.</v>
      </c>
      <c r="Z137" s="3" t="s">
        <v>297</v>
      </c>
      <c r="AA137" s="34">
        <v>0</v>
      </c>
      <c r="AB137" s="34">
        <v>0</v>
      </c>
      <c r="AC137" s="35">
        <v>0</v>
      </c>
      <c r="AD137" s="35">
        <v>0</v>
      </c>
      <c r="AE137" s="35">
        <v>0</v>
      </c>
      <c r="AF137" s="24">
        <v>0</v>
      </c>
      <c r="AG137" s="21">
        <f t="shared" si="186"/>
        <v>0</v>
      </c>
      <c r="AH137" s="42">
        <v>0</v>
      </c>
      <c r="AI137" s="42">
        <f>+(0)+(78)+(0)+(54)+(0)+(216)</f>
        <v>348</v>
      </c>
      <c r="AJ137" s="35">
        <v>120</v>
      </c>
      <c r="AK137" s="17">
        <f t="shared" si="183"/>
        <v>228</v>
      </c>
      <c r="AL137" s="42">
        <f t="shared" si="201"/>
        <v>0</v>
      </c>
      <c r="AM137" s="42">
        <f t="shared" si="201"/>
        <v>0</v>
      </c>
      <c r="AN137" s="35">
        <v>120</v>
      </c>
      <c r="AO137" s="24">
        <f t="shared" si="171"/>
        <v>108</v>
      </c>
      <c r="AP137" s="42">
        <f>+(0)+(0)+(0)+(0)+(30)+(0)</f>
        <v>30</v>
      </c>
      <c r="AQ137" s="42">
        <f>+(78)+(30)+(0)+(0)+(21)+(96)</f>
        <v>225</v>
      </c>
      <c r="AR137" s="68">
        <v>120</v>
      </c>
      <c r="AS137" s="71">
        <f t="shared" si="146"/>
        <v>243</v>
      </c>
      <c r="AT137" s="60">
        <f t="shared" si="185"/>
        <v>0</v>
      </c>
      <c r="AU137" s="60">
        <f>+(0)+(96)+(0)+(0)+(0)+(0)</f>
        <v>96</v>
      </c>
      <c r="AV137" s="94">
        <v>120</v>
      </c>
      <c r="AW137" s="71">
        <f t="shared" si="147"/>
        <v>219</v>
      </c>
      <c r="AX137" s="60">
        <f>+(84)+(30)+(108)+(37.8)</f>
        <v>259.8</v>
      </c>
      <c r="AY137" s="113">
        <f>+(0)+(0)+(96)+(0)+(0)+(78)+(129)+(30)</f>
        <v>333</v>
      </c>
      <c r="AZ137" s="71">
        <v>120</v>
      </c>
      <c r="BA137" s="71">
        <f>(+AW137+AX137+AY137)-AZ137</f>
        <v>691.8</v>
      </c>
      <c r="BB137" s="135">
        <f>+(0)+(30)+(0)+(78)</f>
        <v>108</v>
      </c>
      <c r="BC137" s="135">
        <f>+(0)+(78)+(78)+(108)+(0)+(0)+(78)+(0)</f>
        <v>342</v>
      </c>
      <c r="BD137" s="50">
        <v>120</v>
      </c>
      <c r="BE137" s="50">
        <f t="shared" si="218"/>
        <v>1021.8</v>
      </c>
      <c r="BG137" s="139">
        <v>0</v>
      </c>
      <c r="BH137" s="139">
        <v>0</v>
      </c>
      <c r="BI137" s="139">
        <v>0</v>
      </c>
      <c r="BJ137" s="139">
        <v>0</v>
      </c>
      <c r="BK137" s="139">
        <v>0</v>
      </c>
      <c r="BL137" s="139">
        <v>0</v>
      </c>
      <c r="BM137" s="139">
        <v>0</v>
      </c>
      <c r="BN137" s="139">
        <v>0</v>
      </c>
      <c r="BO137" s="139">
        <v>0</v>
      </c>
      <c r="BP137" s="139">
        <v>0</v>
      </c>
      <c r="BQ137" s="139">
        <v>0</v>
      </c>
      <c r="BR137" s="139">
        <v>0</v>
      </c>
      <c r="BS137" s="206">
        <v>120</v>
      </c>
      <c r="BT137" s="205">
        <f t="shared" si="219"/>
        <v>901.8</v>
      </c>
      <c r="BU137" s="153">
        <f t="shared" si="216"/>
        <v>840</v>
      </c>
    </row>
    <row r="138" spans="1:73" ht="25.8" thickBot="1" x14ac:dyDescent="0.65">
      <c r="A138" s="53">
        <v>130</v>
      </c>
      <c r="B138" s="143" t="s">
        <v>187</v>
      </c>
      <c r="C138" s="144" t="s">
        <v>165</v>
      </c>
      <c r="D138" s="152">
        <v>42370</v>
      </c>
      <c r="E138" s="146">
        <v>5</v>
      </c>
      <c r="F138" s="146">
        <f>+E138*$C$1</f>
        <v>2666.65</v>
      </c>
      <c r="G138" s="146">
        <f>+BU138</f>
        <v>1596</v>
      </c>
      <c r="H138" s="147">
        <f>+F138+G138</f>
        <v>4262.6499999999996</v>
      </c>
      <c r="I138" s="148">
        <v>10</v>
      </c>
      <c r="J138" s="81">
        <v>10</v>
      </c>
      <c r="K138" s="208" t="s">
        <v>309</v>
      </c>
      <c r="L138" s="149">
        <v>46399</v>
      </c>
      <c r="M138" s="150"/>
      <c r="N138" s="151" t="str">
        <f t="shared" ca="1" si="221"/>
        <v>O.K.</v>
      </c>
      <c r="Z138" s="3" t="s">
        <v>187</v>
      </c>
      <c r="AA138" s="34">
        <v>0</v>
      </c>
      <c r="AB138" s="34">
        <v>96</v>
      </c>
      <c r="AC138" s="35">
        <v>150</v>
      </c>
      <c r="AD138" s="35">
        <v>150</v>
      </c>
      <c r="AE138" s="35">
        <v>150</v>
      </c>
      <c r="AF138" s="24">
        <v>156</v>
      </c>
      <c r="AG138" s="21">
        <f>+AF138-AE138</f>
        <v>6</v>
      </c>
      <c r="AH138" s="42">
        <f>132.6+54.6</f>
        <v>187.2</v>
      </c>
      <c r="AI138" s="42">
        <f>+(0)+(156)+(0)+(0)+(54)+(54)</f>
        <v>264</v>
      </c>
      <c r="AJ138" s="35">
        <v>150</v>
      </c>
      <c r="AK138" s="17">
        <f>+AG138+(AH138+AI138)-AJ138</f>
        <v>307.2</v>
      </c>
      <c r="AL138" s="42">
        <f>+(0)+(0)+(0)+(0)+(0)+(54.6)</f>
        <v>54.6</v>
      </c>
      <c r="AM138" s="42">
        <f t="shared" si="201"/>
        <v>0</v>
      </c>
      <c r="AN138" s="17">
        <v>150</v>
      </c>
      <c r="AO138" s="24">
        <f>+AK138+AL138+AM138-AN138</f>
        <v>211.8</v>
      </c>
      <c r="AP138" s="42">
        <f>+(0)+(0)+(0)+(0)+(0)+(0)</f>
        <v>0</v>
      </c>
      <c r="AQ138" s="42">
        <f>+(192)+(0)+(0)+(0)+(0)+(96)</f>
        <v>288</v>
      </c>
      <c r="AR138" s="68">
        <v>150</v>
      </c>
      <c r="AS138" s="71">
        <f t="shared" si="146"/>
        <v>349.8</v>
      </c>
      <c r="AT138" s="60">
        <f>+(0)+(0)+(0)+(0)+(54)+(0)</f>
        <v>54</v>
      </c>
      <c r="AU138" s="60">
        <f t="shared" si="185"/>
        <v>0</v>
      </c>
      <c r="AV138" s="94">
        <v>150</v>
      </c>
      <c r="AW138" s="71">
        <f t="shared" si="147"/>
        <v>253.8</v>
      </c>
      <c r="AX138" s="60">
        <f t="shared" ref="AX138:AX363" si="222">+(0)+(0)+(0)+(0)</f>
        <v>0</v>
      </c>
      <c r="AY138" s="113">
        <f>+(120)+(0)+(0)+(0)+(0)+(0)+(0)+(0)</f>
        <v>120</v>
      </c>
      <c r="AZ138" s="72">
        <v>150</v>
      </c>
      <c r="BA138" s="72">
        <f t="shared" ref="BA138:BA145" si="223">(+AW138+AX138+AY138)-AZ138</f>
        <v>223.8</v>
      </c>
      <c r="BB138" s="135">
        <f t="shared" si="220"/>
        <v>0</v>
      </c>
      <c r="BC138" s="135">
        <f>+(0)+(0)+(204)+(0)+(0)+(0)+(0)+(54.6)</f>
        <v>258.60000000000002</v>
      </c>
      <c r="BD138" s="50">
        <v>150</v>
      </c>
      <c r="BE138" s="50">
        <f t="shared" si="218"/>
        <v>332.40000000000003</v>
      </c>
      <c r="BG138" s="139">
        <v>0</v>
      </c>
      <c r="BH138" s="139">
        <v>0</v>
      </c>
      <c r="BI138" s="139">
        <v>0</v>
      </c>
      <c r="BJ138" s="139">
        <v>0</v>
      </c>
      <c r="BK138" s="139">
        <v>0</v>
      </c>
      <c r="BL138" s="139">
        <v>0</v>
      </c>
      <c r="BM138" s="139">
        <v>0</v>
      </c>
      <c r="BN138" s="139">
        <v>0</v>
      </c>
      <c r="BO138" s="139">
        <v>0</v>
      </c>
      <c r="BP138" s="139">
        <v>0</v>
      </c>
      <c r="BQ138" s="139">
        <v>0</v>
      </c>
      <c r="BR138" s="139">
        <v>0</v>
      </c>
      <c r="BS138" s="206">
        <v>150</v>
      </c>
      <c r="BT138" s="205">
        <f t="shared" si="219"/>
        <v>182.40000000000003</v>
      </c>
      <c r="BU138" s="153">
        <f t="shared" si="216"/>
        <v>1596</v>
      </c>
    </row>
    <row r="139" spans="1:73" ht="25.8" thickBot="1" x14ac:dyDescent="0.65">
      <c r="A139" s="53">
        <v>131</v>
      </c>
      <c r="B139" s="83" t="s">
        <v>63</v>
      </c>
      <c r="C139" s="84" t="s">
        <v>168</v>
      </c>
      <c r="D139" s="83" t="s">
        <v>141</v>
      </c>
      <c r="E139" s="85">
        <v>15</v>
      </c>
      <c r="F139" s="85">
        <f t="shared" si="191"/>
        <v>7999.9500000000007</v>
      </c>
      <c r="G139" s="85">
        <f t="shared" si="192"/>
        <v>2948</v>
      </c>
      <c r="H139" s="86">
        <f t="shared" si="193"/>
        <v>10947.95</v>
      </c>
      <c r="I139" s="87">
        <v>1</v>
      </c>
      <c r="J139" s="81">
        <v>1</v>
      </c>
      <c r="L139" s="88"/>
      <c r="M139" s="89"/>
      <c r="N139" s="90" t="s">
        <v>171</v>
      </c>
      <c r="Z139" s="3" t="s">
        <v>63</v>
      </c>
      <c r="AA139" s="34">
        <v>1664</v>
      </c>
      <c r="AB139" s="34">
        <v>96</v>
      </c>
      <c r="AC139" s="35">
        <v>108</v>
      </c>
      <c r="AD139" s="35">
        <v>120</v>
      </c>
      <c r="AE139" s="35">
        <v>120</v>
      </c>
      <c r="AF139" s="24">
        <v>234</v>
      </c>
      <c r="AG139" s="21">
        <f t="shared" si="186"/>
        <v>114</v>
      </c>
      <c r="AH139" s="42">
        <v>54</v>
      </c>
      <c r="AI139" s="42">
        <f>+(54)+(78)+(78)+(0)+(0)+(54)</f>
        <v>264</v>
      </c>
      <c r="AJ139" s="35">
        <v>120</v>
      </c>
      <c r="AK139" s="17">
        <f t="shared" si="183"/>
        <v>312</v>
      </c>
      <c r="AL139" s="42">
        <f>+(0)+(0)+(0)+(0)+(0)+(156)</f>
        <v>156</v>
      </c>
      <c r="AM139" s="42">
        <f>+(0)+(216)+(0)+(0)+(0)+(0)</f>
        <v>216</v>
      </c>
      <c r="AN139" s="35">
        <v>120</v>
      </c>
      <c r="AO139" s="24">
        <f t="shared" si="171"/>
        <v>564</v>
      </c>
      <c r="AP139" s="42">
        <f t="shared" si="184"/>
        <v>0</v>
      </c>
      <c r="AQ139" s="42">
        <f t="shared" si="184"/>
        <v>0</v>
      </c>
      <c r="AR139" s="68">
        <v>120</v>
      </c>
      <c r="AS139" s="71">
        <f t="shared" si="146"/>
        <v>444</v>
      </c>
      <c r="AT139" s="60">
        <f>+(0)+(0)+(0)+(0)+(54)+(0)</f>
        <v>54</v>
      </c>
      <c r="AU139" s="60">
        <f>+(0)+(108)+(0)+(0)+(0)+(0)</f>
        <v>108</v>
      </c>
      <c r="AV139" s="94">
        <v>120</v>
      </c>
      <c r="AW139" s="71">
        <f t="shared" si="147"/>
        <v>486</v>
      </c>
      <c r="AX139" s="60">
        <f t="shared" si="222"/>
        <v>0</v>
      </c>
      <c r="AY139" s="113">
        <f t="shared" si="149"/>
        <v>0</v>
      </c>
      <c r="AZ139" s="72">
        <v>120</v>
      </c>
      <c r="BA139" s="72">
        <f t="shared" si="223"/>
        <v>366</v>
      </c>
      <c r="BB139" s="135">
        <f t="shared" si="220"/>
        <v>0</v>
      </c>
      <c r="BC139" s="135">
        <f t="shared" si="217"/>
        <v>0</v>
      </c>
      <c r="BD139" s="50">
        <v>120</v>
      </c>
      <c r="BE139" s="50">
        <f t="shared" si="218"/>
        <v>246</v>
      </c>
      <c r="BG139" s="139">
        <v>0</v>
      </c>
      <c r="BH139" s="139">
        <v>0</v>
      </c>
      <c r="BI139" s="139">
        <v>0</v>
      </c>
      <c r="BJ139" s="139">
        <v>0</v>
      </c>
      <c r="BK139" s="139">
        <v>0</v>
      </c>
      <c r="BL139" s="139">
        <v>0</v>
      </c>
      <c r="BM139" s="139">
        <v>0</v>
      </c>
      <c r="BN139" s="139">
        <v>0</v>
      </c>
      <c r="BO139" s="139">
        <v>0</v>
      </c>
      <c r="BP139" s="139">
        <v>0</v>
      </c>
      <c r="BQ139" s="139">
        <v>0</v>
      </c>
      <c r="BR139" s="139">
        <v>0</v>
      </c>
      <c r="BS139" s="206">
        <v>120</v>
      </c>
      <c r="BT139" s="205">
        <f t="shared" si="219"/>
        <v>126</v>
      </c>
      <c r="BU139" s="153">
        <f t="shared" si="216"/>
        <v>2948</v>
      </c>
    </row>
    <row r="140" spans="1:73" ht="25.8" thickBot="1" x14ac:dyDescent="0.65">
      <c r="A140" s="53">
        <v>132</v>
      </c>
      <c r="B140" s="99" t="s">
        <v>373</v>
      </c>
      <c r="C140" s="100" t="s">
        <v>165</v>
      </c>
      <c r="D140" s="108">
        <v>44714</v>
      </c>
      <c r="E140" s="101">
        <v>1</v>
      </c>
      <c r="F140" s="101">
        <f t="shared" si="191"/>
        <v>533.33000000000004</v>
      </c>
      <c r="G140" s="101">
        <f t="shared" ref="G140" si="224">+BU140</f>
        <v>696</v>
      </c>
      <c r="H140" s="102">
        <f t="shared" ref="H140" si="225">+F140+G140</f>
        <v>1229.33</v>
      </c>
      <c r="I140" s="103">
        <v>14</v>
      </c>
      <c r="J140" s="81">
        <v>14</v>
      </c>
      <c r="L140" s="96">
        <v>46175</v>
      </c>
      <c r="M140" s="97"/>
      <c r="N140" s="98" t="str">
        <f t="shared" ca="1" si="221"/>
        <v>O.K.</v>
      </c>
      <c r="Z140" s="3" t="s">
        <v>373</v>
      </c>
      <c r="AA140" s="34">
        <v>0</v>
      </c>
      <c r="AB140" s="34">
        <v>0</v>
      </c>
      <c r="AC140" s="35">
        <v>0</v>
      </c>
      <c r="AD140" s="35">
        <v>0</v>
      </c>
      <c r="AE140" s="35">
        <v>0</v>
      </c>
      <c r="AF140" s="24">
        <v>0</v>
      </c>
      <c r="AG140" s="21">
        <f t="shared" ref="AG140" si="226">+AF140-AE140</f>
        <v>0</v>
      </c>
      <c r="AH140" s="42">
        <v>0</v>
      </c>
      <c r="AI140" s="42">
        <v>0</v>
      </c>
      <c r="AJ140" s="35">
        <v>0</v>
      </c>
      <c r="AK140" s="17">
        <f t="shared" ref="AK140" si="227">+AG140+(AH140+AI140)-AJ140</f>
        <v>0</v>
      </c>
      <c r="AL140" s="42">
        <f t="shared" si="201"/>
        <v>0</v>
      </c>
      <c r="AM140" s="42">
        <f t="shared" si="201"/>
        <v>0</v>
      </c>
      <c r="AN140" s="35">
        <v>0</v>
      </c>
      <c r="AO140" s="24">
        <f t="shared" ref="AO140" si="228">+AK140+AL140+AM140-AN140</f>
        <v>0</v>
      </c>
      <c r="AP140" s="42">
        <f t="shared" si="184"/>
        <v>0</v>
      </c>
      <c r="AQ140" s="42">
        <f>+(0)+(0)+(0)+(0)+(0)+(96)</f>
        <v>96</v>
      </c>
      <c r="AR140" s="68">
        <v>96</v>
      </c>
      <c r="AS140" s="71">
        <f t="shared" ref="AS140" si="229">+AO140+AP140+AQ140-AR140</f>
        <v>0</v>
      </c>
      <c r="AT140" s="60">
        <f>+(38.4)+(0)+(0)+(0)+(54)+(0)</f>
        <v>92.4</v>
      </c>
      <c r="AU140" s="60">
        <f>+(0)+(120)+(0)+(0)+(0)+(0)</f>
        <v>120</v>
      </c>
      <c r="AV140" s="94">
        <v>150</v>
      </c>
      <c r="AW140" s="71">
        <f t="shared" ref="AW140" si="230">+AS140+AT140+AU140-AV140</f>
        <v>62.400000000000006</v>
      </c>
      <c r="AX140" s="60">
        <f>+(0)+(0)+(0)+(96)</f>
        <v>96</v>
      </c>
      <c r="AY140" s="113">
        <f>+(0)+(0)+(96)+(0)+(0)+(0)+(0)+(0)</f>
        <v>96</v>
      </c>
      <c r="AZ140" s="72">
        <v>150</v>
      </c>
      <c r="BA140" s="72">
        <f t="shared" si="223"/>
        <v>104.4</v>
      </c>
      <c r="BB140" s="135">
        <f t="shared" si="220"/>
        <v>0</v>
      </c>
      <c r="BC140" s="135">
        <f>+(0)+(96)+(145.2)+(0)+(0)+(0)+(0)+(0)</f>
        <v>241.2</v>
      </c>
      <c r="BD140" s="50">
        <v>150</v>
      </c>
      <c r="BE140" s="50">
        <f t="shared" si="218"/>
        <v>195.60000000000002</v>
      </c>
      <c r="BG140" s="139">
        <v>0</v>
      </c>
      <c r="BH140" s="139">
        <v>0</v>
      </c>
      <c r="BI140" s="139">
        <v>0</v>
      </c>
      <c r="BJ140" s="139">
        <v>0</v>
      </c>
      <c r="BK140" s="139">
        <v>0</v>
      </c>
      <c r="BL140" s="139">
        <v>0</v>
      </c>
      <c r="BM140" s="139">
        <v>0</v>
      </c>
      <c r="BN140" s="139">
        <v>0</v>
      </c>
      <c r="BO140" s="139">
        <v>0</v>
      </c>
      <c r="BP140" s="139">
        <v>0</v>
      </c>
      <c r="BQ140" s="139">
        <v>0</v>
      </c>
      <c r="BR140" s="139">
        <v>0</v>
      </c>
      <c r="BS140" s="206">
        <v>150</v>
      </c>
      <c r="BT140" s="205">
        <f t="shared" si="219"/>
        <v>45.600000000000023</v>
      </c>
      <c r="BU140" s="153">
        <f t="shared" si="216"/>
        <v>696</v>
      </c>
    </row>
    <row r="141" spans="1:73" ht="25.8" thickBot="1" x14ac:dyDescent="0.65">
      <c r="A141" s="53">
        <v>133</v>
      </c>
      <c r="B141" s="143" t="s">
        <v>64</v>
      </c>
      <c r="C141" s="144" t="s">
        <v>165</v>
      </c>
      <c r="D141" s="143" t="s">
        <v>142</v>
      </c>
      <c r="E141" s="146">
        <v>12</v>
      </c>
      <c r="F141" s="146">
        <f t="shared" si="191"/>
        <v>6399.9600000000009</v>
      </c>
      <c r="G141" s="146">
        <f t="shared" si="192"/>
        <v>2292</v>
      </c>
      <c r="H141" s="147">
        <f t="shared" si="193"/>
        <v>8691.9600000000009</v>
      </c>
      <c r="I141" s="148">
        <v>5</v>
      </c>
      <c r="J141" s="81">
        <v>5</v>
      </c>
      <c r="L141" s="149">
        <v>46661</v>
      </c>
      <c r="M141" s="150"/>
      <c r="N141" s="151" t="str">
        <f t="shared" ca="1" si="221"/>
        <v>O.K.</v>
      </c>
      <c r="Z141" s="3" t="s">
        <v>64</v>
      </c>
      <c r="AA141" s="34">
        <v>750</v>
      </c>
      <c r="AB141" s="34">
        <v>96</v>
      </c>
      <c r="AC141" s="35">
        <v>96</v>
      </c>
      <c r="AD141" s="35">
        <v>150</v>
      </c>
      <c r="AE141" s="35">
        <v>150</v>
      </c>
      <c r="AF141" s="24">
        <v>318.60000000000002</v>
      </c>
      <c r="AG141" s="21">
        <f t="shared" si="186"/>
        <v>168.60000000000002</v>
      </c>
      <c r="AH141" s="42">
        <v>210</v>
      </c>
      <c r="AI141" s="42">
        <f>+(0)+(115.8)+(0)+(115.8)+(54)+(175.8)</f>
        <v>461.40000000000003</v>
      </c>
      <c r="AJ141" s="35">
        <v>150</v>
      </c>
      <c r="AK141" s="17">
        <f t="shared" si="183"/>
        <v>690.00000000000011</v>
      </c>
      <c r="AL141" s="42">
        <f>+(0)+(0)+(30)+(0)+(30)+(0)</f>
        <v>60</v>
      </c>
      <c r="AM141" s="42">
        <f>+(0)+(0)+(84)+(0)+(0)+(0)</f>
        <v>84</v>
      </c>
      <c r="AN141" s="35">
        <v>150</v>
      </c>
      <c r="AO141" s="24">
        <f t="shared" si="171"/>
        <v>684.00000000000011</v>
      </c>
      <c r="AP141" s="42">
        <f>+(0)+(0)+(0)+(0)+(0)+(0)</f>
        <v>0</v>
      </c>
      <c r="AQ141" s="42">
        <f>+(54)+(354)+(0)+(0)+(54)+(96)</f>
        <v>558</v>
      </c>
      <c r="AR141" s="68">
        <v>150</v>
      </c>
      <c r="AS141" s="71">
        <f t="shared" si="146"/>
        <v>1092</v>
      </c>
      <c r="AT141" s="60">
        <f>+(108)+(0)+(0)+(0)+(0)+(0)</f>
        <v>108</v>
      </c>
      <c r="AU141" s="60">
        <f>+(120)+(351.6)+(0)+(0)+(0)+(0)</f>
        <v>471.6</v>
      </c>
      <c r="AV141" s="94">
        <v>150</v>
      </c>
      <c r="AW141" s="71">
        <f t="shared" si="147"/>
        <v>1521.6</v>
      </c>
      <c r="AX141" s="60">
        <f>+(0)+(0)+(0)+(96)</f>
        <v>96</v>
      </c>
      <c r="AY141" s="113">
        <f t="shared" si="149"/>
        <v>0</v>
      </c>
      <c r="AZ141" s="72">
        <v>150</v>
      </c>
      <c r="BA141" s="72">
        <f t="shared" si="223"/>
        <v>1467.6</v>
      </c>
      <c r="BB141" s="135">
        <f>+(0)+(0)+(60)+(168)</f>
        <v>228</v>
      </c>
      <c r="BC141" s="135">
        <f>+(0)+(54)+(96)+(0)+(78)+(0)+(0)+(0)</f>
        <v>228</v>
      </c>
      <c r="BD141" s="50">
        <v>150</v>
      </c>
      <c r="BE141" s="50">
        <f t="shared" si="218"/>
        <v>1773.6</v>
      </c>
      <c r="BG141" s="139">
        <v>0</v>
      </c>
      <c r="BH141" s="139">
        <v>0</v>
      </c>
      <c r="BI141" s="139">
        <v>0</v>
      </c>
      <c r="BJ141" s="139">
        <v>0</v>
      </c>
      <c r="BK141" s="139">
        <v>0</v>
      </c>
      <c r="BL141" s="139">
        <v>0</v>
      </c>
      <c r="BM141" s="139">
        <v>0</v>
      </c>
      <c r="BN141" s="139">
        <v>0</v>
      </c>
      <c r="BO141" s="139">
        <v>0</v>
      </c>
      <c r="BP141" s="139">
        <v>0</v>
      </c>
      <c r="BQ141" s="139">
        <v>0</v>
      </c>
      <c r="BR141" s="139">
        <v>0</v>
      </c>
      <c r="BS141" s="206">
        <v>150</v>
      </c>
      <c r="BT141" s="205">
        <f t="shared" si="219"/>
        <v>1623.6</v>
      </c>
      <c r="BU141" s="153">
        <f t="shared" si="216"/>
        <v>2292</v>
      </c>
    </row>
    <row r="142" spans="1:73" ht="25.8" thickBot="1" x14ac:dyDescent="0.65">
      <c r="A142" s="53">
        <v>134</v>
      </c>
      <c r="B142" s="99" t="s">
        <v>65</v>
      </c>
      <c r="C142" s="100" t="s">
        <v>165</v>
      </c>
      <c r="D142" s="104" t="s">
        <v>143</v>
      </c>
      <c r="E142" s="101">
        <v>8</v>
      </c>
      <c r="F142" s="101">
        <f t="shared" si="191"/>
        <v>4266.6400000000003</v>
      </c>
      <c r="G142" s="101">
        <f t="shared" si="192"/>
        <v>1554</v>
      </c>
      <c r="H142" s="102">
        <f t="shared" si="193"/>
        <v>5820.64</v>
      </c>
      <c r="I142" s="103">
        <v>9</v>
      </c>
      <c r="J142" s="81">
        <v>9</v>
      </c>
      <c r="L142" s="96">
        <v>46247</v>
      </c>
      <c r="M142" s="97"/>
      <c r="N142" s="98" t="str">
        <f t="shared" ca="1" si="221"/>
        <v>O.K.</v>
      </c>
      <c r="O142" s="1"/>
      <c r="P142" s="1"/>
      <c r="Q142" s="1"/>
      <c r="R142" s="1"/>
      <c r="S142" s="1"/>
      <c r="T142" s="1"/>
      <c r="U142" s="1"/>
      <c r="V142" s="1"/>
      <c r="W142" s="1"/>
      <c r="Z142" s="3" t="s">
        <v>65</v>
      </c>
      <c r="AA142" s="34">
        <f>225+120</f>
        <v>345</v>
      </c>
      <c r="AB142" s="34">
        <v>150</v>
      </c>
      <c r="AC142" s="35">
        <v>96</v>
      </c>
      <c r="AD142" s="35">
        <v>150</v>
      </c>
      <c r="AE142" s="35">
        <v>0</v>
      </c>
      <c r="AF142" s="24">
        <v>0</v>
      </c>
      <c r="AG142" s="21">
        <f t="shared" si="186"/>
        <v>0</v>
      </c>
      <c r="AH142" s="42">
        <v>0</v>
      </c>
      <c r="AI142" s="42">
        <f>+(0)+(0)+(0)+(0)+(0)+(91.8)</f>
        <v>91.8</v>
      </c>
      <c r="AJ142" s="35">
        <v>91.8</v>
      </c>
      <c r="AK142" s="17">
        <f t="shared" si="183"/>
        <v>0</v>
      </c>
      <c r="AL142" s="42">
        <f t="shared" si="201"/>
        <v>0</v>
      </c>
      <c r="AM142" s="42">
        <v>132.6</v>
      </c>
      <c r="AN142" s="35">
        <v>132.6</v>
      </c>
      <c r="AO142" s="65">
        <f t="shared" si="171"/>
        <v>0</v>
      </c>
      <c r="AP142" s="42">
        <f>+(0)+(0)+(0)+(108)+(0)+(0)</f>
        <v>108</v>
      </c>
      <c r="AQ142" s="42">
        <f>+(0)+(120)+(0)+(0)+(96)+(0)</f>
        <v>216</v>
      </c>
      <c r="AR142" s="68">
        <v>150</v>
      </c>
      <c r="AS142" s="71">
        <f t="shared" si="146"/>
        <v>174</v>
      </c>
      <c r="AT142" s="60">
        <f>+(0)+(0)+(0)+(0)+(54)+(0)</f>
        <v>54</v>
      </c>
      <c r="AU142" s="60">
        <f t="shared" si="185"/>
        <v>0</v>
      </c>
      <c r="AV142" s="94">
        <v>150</v>
      </c>
      <c r="AW142" s="71">
        <f t="shared" si="147"/>
        <v>78</v>
      </c>
      <c r="AX142" s="60">
        <f>+(0)+(0)+(30)+(96)</f>
        <v>126</v>
      </c>
      <c r="AY142" s="113">
        <f t="shared" si="149"/>
        <v>0</v>
      </c>
      <c r="AZ142" s="72">
        <v>150</v>
      </c>
      <c r="BA142" s="72">
        <f t="shared" si="223"/>
        <v>54</v>
      </c>
      <c r="BB142" s="135">
        <f t="shared" si="220"/>
        <v>0</v>
      </c>
      <c r="BC142" s="135">
        <f>+(0)+(30)+(0)+(0)+(0)+(0)+(0)+(54.6)</f>
        <v>84.6</v>
      </c>
      <c r="BD142" s="50">
        <v>138.6</v>
      </c>
      <c r="BE142" s="50">
        <f t="shared" si="218"/>
        <v>0</v>
      </c>
      <c r="BG142" s="139">
        <v>0</v>
      </c>
      <c r="BH142" s="139">
        <v>0</v>
      </c>
      <c r="BI142" s="139">
        <v>0</v>
      </c>
      <c r="BJ142" s="139">
        <v>0</v>
      </c>
      <c r="BK142" s="139">
        <v>0</v>
      </c>
      <c r="BL142" s="139">
        <v>0</v>
      </c>
      <c r="BM142" s="139">
        <v>0</v>
      </c>
      <c r="BN142" s="139">
        <v>0</v>
      </c>
      <c r="BO142" s="139">
        <v>0</v>
      </c>
      <c r="BP142" s="139">
        <v>0</v>
      </c>
      <c r="BQ142" s="139">
        <v>0</v>
      </c>
      <c r="BR142" s="139">
        <v>0</v>
      </c>
      <c r="BS142" s="206">
        <v>0</v>
      </c>
      <c r="BT142" s="205">
        <f t="shared" si="219"/>
        <v>0</v>
      </c>
      <c r="BU142" s="153">
        <f t="shared" si="216"/>
        <v>1554</v>
      </c>
    </row>
    <row r="143" spans="1:73" ht="25.8" thickBot="1" x14ac:dyDescent="0.65">
      <c r="A143" s="53">
        <v>135</v>
      </c>
      <c r="B143" s="143" t="s">
        <v>66</v>
      </c>
      <c r="C143" s="144" t="s">
        <v>164</v>
      </c>
      <c r="D143" s="143" t="s">
        <v>144</v>
      </c>
      <c r="E143" s="146">
        <v>6</v>
      </c>
      <c r="F143" s="146">
        <f t="shared" si="191"/>
        <v>3199.9800000000005</v>
      </c>
      <c r="G143" s="146">
        <f t="shared" si="192"/>
        <v>1543.2</v>
      </c>
      <c r="H143" s="147">
        <f t="shared" si="193"/>
        <v>4743.18</v>
      </c>
      <c r="I143" s="148">
        <v>9</v>
      </c>
      <c r="J143" s="81">
        <v>9</v>
      </c>
      <c r="L143" s="149">
        <v>46417</v>
      </c>
      <c r="M143" s="150"/>
      <c r="N143" s="151" t="str">
        <f t="shared" ca="1" si="221"/>
        <v>O.K.</v>
      </c>
      <c r="Z143" s="3" t="s">
        <v>66</v>
      </c>
      <c r="AA143" s="34">
        <v>270</v>
      </c>
      <c r="AB143" s="34">
        <v>120</v>
      </c>
      <c r="AC143" s="35">
        <v>120</v>
      </c>
      <c r="AD143" s="35">
        <v>120</v>
      </c>
      <c r="AE143" s="35">
        <v>78</v>
      </c>
      <c r="AF143" s="24">
        <v>78</v>
      </c>
      <c r="AG143" s="21">
        <f t="shared" si="186"/>
        <v>0</v>
      </c>
      <c r="AH143" s="42">
        <v>186.6</v>
      </c>
      <c r="AI143" s="42">
        <f>+(0)+(78)+(54)+(78)+(0)+(0)</f>
        <v>210</v>
      </c>
      <c r="AJ143" s="35">
        <v>120</v>
      </c>
      <c r="AK143" s="17">
        <f t="shared" si="183"/>
        <v>276.60000000000002</v>
      </c>
      <c r="AL143" s="42">
        <f t="shared" si="201"/>
        <v>0</v>
      </c>
      <c r="AM143" s="42">
        <f>+(0)+(78)+(0)+(0)+(0)+(0)</f>
        <v>78</v>
      </c>
      <c r="AN143" s="35">
        <v>120</v>
      </c>
      <c r="AO143" s="24">
        <f t="shared" si="171"/>
        <v>234.60000000000002</v>
      </c>
      <c r="AP143" s="42">
        <f t="shared" si="184"/>
        <v>0</v>
      </c>
      <c r="AQ143" s="42">
        <f t="shared" si="184"/>
        <v>0</v>
      </c>
      <c r="AR143" s="68">
        <v>120</v>
      </c>
      <c r="AS143" s="71">
        <f t="shared" si="146"/>
        <v>114.60000000000002</v>
      </c>
      <c r="AT143" s="60">
        <f>+(0)+(0)+(54)+(54.6)+(0)+(0)</f>
        <v>108.6</v>
      </c>
      <c r="AU143" s="60">
        <f t="shared" si="185"/>
        <v>0</v>
      </c>
      <c r="AV143" s="94">
        <v>120</v>
      </c>
      <c r="AW143" s="71">
        <f t="shared" si="147"/>
        <v>103.20000000000002</v>
      </c>
      <c r="AX143" s="60">
        <f t="shared" si="222"/>
        <v>0</v>
      </c>
      <c r="AY143" s="113">
        <f>+(0)+(0)+(96)+(0)+(0)+(0)+(0)+(0)</f>
        <v>96</v>
      </c>
      <c r="AZ143" s="72">
        <v>120</v>
      </c>
      <c r="BA143" s="72">
        <f t="shared" si="223"/>
        <v>79.200000000000017</v>
      </c>
      <c r="BB143" s="135">
        <f t="shared" si="220"/>
        <v>0</v>
      </c>
      <c r="BC143" s="135">
        <f>+(78)+(0)+(0)+(0)+(0)+(0)+(0)+(78)</f>
        <v>156</v>
      </c>
      <c r="BD143" s="50">
        <v>120</v>
      </c>
      <c r="BE143" s="50">
        <f t="shared" si="218"/>
        <v>115.20000000000002</v>
      </c>
      <c r="BG143" s="139">
        <v>0</v>
      </c>
      <c r="BH143" s="139">
        <v>0</v>
      </c>
      <c r="BI143" s="139">
        <v>0</v>
      </c>
      <c r="BJ143" s="139">
        <v>0</v>
      </c>
      <c r="BK143" s="139">
        <v>0</v>
      </c>
      <c r="BL143" s="139">
        <v>0</v>
      </c>
      <c r="BM143" s="139">
        <v>0</v>
      </c>
      <c r="BN143" s="139">
        <v>0</v>
      </c>
      <c r="BO143" s="139">
        <v>0</v>
      </c>
      <c r="BP143" s="139">
        <v>0</v>
      </c>
      <c r="BQ143" s="139">
        <v>0</v>
      </c>
      <c r="BR143" s="139">
        <v>0</v>
      </c>
      <c r="BS143" s="206">
        <v>115.2</v>
      </c>
      <c r="BT143" s="205">
        <f t="shared" si="219"/>
        <v>0</v>
      </c>
      <c r="BU143" s="153">
        <f t="shared" si="216"/>
        <v>1543.2</v>
      </c>
    </row>
    <row r="144" spans="1:73" ht="25.8" thickBot="1" x14ac:dyDescent="0.65">
      <c r="A144" s="53">
        <v>136</v>
      </c>
      <c r="B144" s="99" t="s">
        <v>400</v>
      </c>
      <c r="C144" s="100" t="s">
        <v>164</v>
      </c>
      <c r="D144" s="108">
        <v>44986</v>
      </c>
      <c r="E144" s="101">
        <v>1</v>
      </c>
      <c r="F144" s="101">
        <f t="shared" si="191"/>
        <v>533.33000000000004</v>
      </c>
      <c r="G144" s="101">
        <f t="shared" ref="G144" si="231">+BU144</f>
        <v>480</v>
      </c>
      <c r="H144" s="102">
        <f t="shared" ref="H144" si="232">+F144+G144</f>
        <v>1013.33</v>
      </c>
      <c r="I144" s="103">
        <v>14</v>
      </c>
      <c r="J144" s="81">
        <v>14</v>
      </c>
      <c r="L144" s="96">
        <v>46048</v>
      </c>
      <c r="M144" s="97"/>
      <c r="N144" s="98" t="str">
        <f t="shared" ca="1" si="221"/>
        <v>O.K.</v>
      </c>
      <c r="Z144" s="3" t="s">
        <v>400</v>
      </c>
      <c r="AA144" s="34">
        <v>0</v>
      </c>
      <c r="AB144" s="34">
        <v>0</v>
      </c>
      <c r="AC144" s="35">
        <v>0</v>
      </c>
      <c r="AD144" s="35">
        <v>0</v>
      </c>
      <c r="AE144" s="35">
        <v>0</v>
      </c>
      <c r="AF144" s="24">
        <v>0</v>
      </c>
      <c r="AG144" s="21">
        <f t="shared" si="186"/>
        <v>0</v>
      </c>
      <c r="AH144" s="42">
        <v>0</v>
      </c>
      <c r="AI144" s="42">
        <v>0</v>
      </c>
      <c r="AJ144" s="35">
        <v>0</v>
      </c>
      <c r="AK144" s="17">
        <f t="shared" si="183"/>
        <v>0</v>
      </c>
      <c r="AL144" s="42">
        <v>0</v>
      </c>
      <c r="AM144" s="42">
        <v>0</v>
      </c>
      <c r="AN144" s="35">
        <v>0</v>
      </c>
      <c r="AO144" s="24">
        <f t="shared" si="171"/>
        <v>0</v>
      </c>
      <c r="AP144" s="42">
        <v>0</v>
      </c>
      <c r="AQ144" s="42">
        <v>0</v>
      </c>
      <c r="AR144" s="68">
        <v>0</v>
      </c>
      <c r="AS144" s="71">
        <f t="shared" si="146"/>
        <v>0</v>
      </c>
      <c r="AT144" s="60">
        <f>+(0)+(0)+(0)+(54.6)+(0)+(0)</f>
        <v>54.6</v>
      </c>
      <c r="AU144" s="60">
        <f>+(0)+(216)+(0)+(0)+(0)+(0)</f>
        <v>216</v>
      </c>
      <c r="AV144" s="94">
        <v>120</v>
      </c>
      <c r="AW144" s="71">
        <f t="shared" si="147"/>
        <v>150.60000000000002</v>
      </c>
      <c r="AX144" s="60">
        <f>+(0)+(0)+(0)+(78)</f>
        <v>78</v>
      </c>
      <c r="AY144" s="113">
        <f>+(0)+(0)+(96)+(0)+(0)+(0)+(78)+(108)</f>
        <v>282</v>
      </c>
      <c r="AZ144" s="71">
        <v>120</v>
      </c>
      <c r="BA144" s="71">
        <f t="shared" si="223"/>
        <v>390.6</v>
      </c>
      <c r="BB144" s="135">
        <f>+(0)+(30)+(0)+(0)</f>
        <v>30</v>
      </c>
      <c r="BC144" s="135">
        <f>+(78)+(0)+(0)+(108)+(0)+(54.6)+(0)+(0)</f>
        <v>240.6</v>
      </c>
      <c r="BD144" s="50">
        <v>120</v>
      </c>
      <c r="BE144" s="50">
        <f t="shared" si="218"/>
        <v>541.20000000000005</v>
      </c>
      <c r="BG144" s="139">
        <v>0</v>
      </c>
      <c r="BH144" s="139">
        <v>0</v>
      </c>
      <c r="BI144" s="139">
        <v>0</v>
      </c>
      <c r="BJ144" s="139">
        <v>0</v>
      </c>
      <c r="BK144" s="139">
        <v>0</v>
      </c>
      <c r="BL144" s="139">
        <v>0</v>
      </c>
      <c r="BM144" s="139">
        <v>0</v>
      </c>
      <c r="BN144" s="139">
        <v>0</v>
      </c>
      <c r="BO144" s="139">
        <v>0</v>
      </c>
      <c r="BP144" s="139">
        <v>0</v>
      </c>
      <c r="BQ144" s="139">
        <v>0</v>
      </c>
      <c r="BR144" s="139">
        <v>0</v>
      </c>
      <c r="BS144" s="206">
        <v>120</v>
      </c>
      <c r="BT144" s="205">
        <f t="shared" si="219"/>
        <v>421.20000000000005</v>
      </c>
      <c r="BU144" s="153">
        <f t="shared" si="216"/>
        <v>480</v>
      </c>
    </row>
    <row r="145" spans="1:73" ht="25.8" thickBot="1" x14ac:dyDescent="0.65">
      <c r="A145" s="53">
        <v>137</v>
      </c>
      <c r="B145" s="99" t="s">
        <v>425</v>
      </c>
      <c r="C145" s="100" t="s">
        <v>166</v>
      </c>
      <c r="D145" s="108">
        <v>45282</v>
      </c>
      <c r="E145" s="101">
        <v>1</v>
      </c>
      <c r="F145" s="101">
        <f t="shared" ref="F145" si="233">+E145*$C$1</f>
        <v>533.33000000000004</v>
      </c>
      <c r="G145" s="101">
        <f t="shared" ref="G145" si="234">+BU145</f>
        <v>400.8</v>
      </c>
      <c r="H145" s="102">
        <f t="shared" ref="H145" si="235">+F145+G145</f>
        <v>934.13000000000011</v>
      </c>
      <c r="I145" s="103">
        <v>14</v>
      </c>
      <c r="J145" s="81">
        <v>14</v>
      </c>
      <c r="K145" s="199" t="s">
        <v>309</v>
      </c>
      <c r="L145" s="96">
        <v>46153</v>
      </c>
      <c r="M145" s="97"/>
      <c r="N145" s="98" t="str">
        <f t="shared" ca="1" si="221"/>
        <v>O.K.</v>
      </c>
      <c r="Z145" s="3" t="s">
        <v>425</v>
      </c>
      <c r="AA145" s="70">
        <v>162.6</v>
      </c>
      <c r="AB145" s="34">
        <v>0</v>
      </c>
      <c r="AC145" s="35">
        <v>0</v>
      </c>
      <c r="AD145" s="35">
        <v>0</v>
      </c>
      <c r="AE145" s="35">
        <v>0</v>
      </c>
      <c r="AF145" s="24">
        <v>0</v>
      </c>
      <c r="AG145" s="21">
        <f t="shared" si="186"/>
        <v>0</v>
      </c>
      <c r="AH145" s="42">
        <v>0</v>
      </c>
      <c r="AI145" s="42">
        <v>0</v>
      </c>
      <c r="AJ145" s="35">
        <v>0</v>
      </c>
      <c r="AK145" s="17">
        <f t="shared" si="183"/>
        <v>0</v>
      </c>
      <c r="AL145" s="42">
        <v>0</v>
      </c>
      <c r="AM145" s="42">
        <v>0</v>
      </c>
      <c r="AN145" s="35">
        <v>0</v>
      </c>
      <c r="AO145" s="24">
        <f t="shared" si="171"/>
        <v>0</v>
      </c>
      <c r="AP145" s="42">
        <v>0</v>
      </c>
      <c r="AQ145" s="42">
        <v>0</v>
      </c>
      <c r="AR145" s="68">
        <v>0</v>
      </c>
      <c r="AS145" s="71">
        <f t="shared" si="146"/>
        <v>0</v>
      </c>
      <c r="AT145" s="60">
        <v>0</v>
      </c>
      <c r="AU145" s="60">
        <v>0</v>
      </c>
      <c r="AV145" s="94">
        <v>0</v>
      </c>
      <c r="AW145" s="71">
        <f t="shared" si="147"/>
        <v>0</v>
      </c>
      <c r="AX145" s="60">
        <f t="shared" si="222"/>
        <v>0</v>
      </c>
      <c r="AY145" s="113">
        <f t="shared" si="149"/>
        <v>0</v>
      </c>
      <c r="AZ145" s="72">
        <v>0</v>
      </c>
      <c r="BA145" s="72">
        <f t="shared" si="223"/>
        <v>0</v>
      </c>
      <c r="BB145" s="135">
        <f t="shared" si="220"/>
        <v>0</v>
      </c>
      <c r="BC145" s="135">
        <f>+(0)+(0)+(0)+(130.2)+(0)+(0)+(0)+(108)</f>
        <v>238.2</v>
      </c>
      <c r="BD145" s="50">
        <v>150</v>
      </c>
      <c r="BE145" s="50">
        <f t="shared" si="218"/>
        <v>88.199999999999989</v>
      </c>
      <c r="BG145" s="139">
        <v>0</v>
      </c>
      <c r="BH145" s="139">
        <v>0</v>
      </c>
      <c r="BI145" s="139">
        <v>0</v>
      </c>
      <c r="BJ145" s="139">
        <v>0</v>
      </c>
      <c r="BK145" s="139">
        <v>0</v>
      </c>
      <c r="BL145" s="139">
        <v>0</v>
      </c>
      <c r="BM145" s="139">
        <v>0</v>
      </c>
      <c r="BN145" s="139">
        <v>0</v>
      </c>
      <c r="BO145" s="139">
        <v>0</v>
      </c>
      <c r="BP145" s="139">
        <v>0</v>
      </c>
      <c r="BQ145" s="139">
        <v>0</v>
      </c>
      <c r="BR145" s="139">
        <v>0</v>
      </c>
      <c r="BS145" s="206">
        <v>88.2</v>
      </c>
      <c r="BT145" s="205">
        <f t="shared" si="219"/>
        <v>0</v>
      </c>
      <c r="BU145" s="153">
        <f t="shared" si="216"/>
        <v>400.8</v>
      </c>
    </row>
    <row r="146" spans="1:73" ht="25.8" thickBot="1" x14ac:dyDescent="0.65">
      <c r="A146" s="53">
        <v>138</v>
      </c>
      <c r="B146" s="83" t="s">
        <v>501</v>
      </c>
      <c r="C146" s="84" t="s">
        <v>354</v>
      </c>
      <c r="D146" s="83" t="s">
        <v>502</v>
      </c>
      <c r="E146" s="188">
        <v>15</v>
      </c>
      <c r="F146" s="85">
        <f>+E146*$C$1</f>
        <v>7999.9500000000007</v>
      </c>
      <c r="G146" s="85">
        <f t="shared" si="192"/>
        <v>1985.6</v>
      </c>
      <c r="H146" s="86">
        <f>+F146+G146</f>
        <v>9985.5500000000011</v>
      </c>
      <c r="I146" s="87">
        <v>2</v>
      </c>
      <c r="J146" s="139">
        <v>2</v>
      </c>
      <c r="L146" s="88"/>
      <c r="M146" s="89"/>
      <c r="N146" s="90" t="s">
        <v>171</v>
      </c>
      <c r="Z146" s="3" t="s">
        <v>501</v>
      </c>
      <c r="AA146" s="37">
        <v>1364</v>
      </c>
      <c r="AB146" s="34">
        <v>120</v>
      </c>
      <c r="AC146" s="35">
        <v>96</v>
      </c>
      <c r="AD146" s="35">
        <v>120</v>
      </c>
      <c r="AE146" s="35">
        <v>120</v>
      </c>
      <c r="AF146" s="24">
        <v>132.6</v>
      </c>
      <c r="AG146" s="21">
        <f t="shared" si="186"/>
        <v>12.599999999999994</v>
      </c>
      <c r="AH146" s="42">
        <v>0</v>
      </c>
      <c r="AI146" s="42">
        <f>+(0)+(0)+(0)+(0)+(0)+(54)</f>
        <v>54</v>
      </c>
      <c r="AJ146" s="35">
        <v>66.599999999999994</v>
      </c>
      <c r="AK146" s="17">
        <f t="shared" si="183"/>
        <v>0</v>
      </c>
      <c r="AL146" s="42">
        <f>+(0)+(0)+(0)+(0)+(78)+(0)</f>
        <v>78</v>
      </c>
      <c r="AM146" s="42">
        <f t="shared" ref="AM146" si="236">+(0)+(0)+(0)+(0)+(0)+(0)</f>
        <v>0</v>
      </c>
      <c r="AN146" s="35">
        <v>78</v>
      </c>
      <c r="AO146" s="65">
        <f t="shared" si="171"/>
        <v>0</v>
      </c>
      <c r="AP146" s="42">
        <f t="shared" ref="AP146:AQ146" si="237">+(0)+(0)+(0)+(0)+(0)+(0)</f>
        <v>0</v>
      </c>
      <c r="AQ146" s="42">
        <f t="shared" si="237"/>
        <v>0</v>
      </c>
      <c r="AR146" s="114">
        <v>0</v>
      </c>
      <c r="AS146" s="94">
        <f t="shared" si="146"/>
        <v>0</v>
      </c>
      <c r="AT146" s="60">
        <f t="shared" ref="AT146:AU146" si="238">+(0)+(0)+(0)+(0)+(0)+(0)</f>
        <v>0</v>
      </c>
      <c r="AU146" s="60">
        <f t="shared" si="238"/>
        <v>0</v>
      </c>
      <c r="AV146" s="94">
        <v>0</v>
      </c>
      <c r="AW146" s="94">
        <f>+AS146+AT146+AU146-AV146</f>
        <v>0</v>
      </c>
      <c r="AX146" s="140">
        <f t="shared" si="222"/>
        <v>0</v>
      </c>
      <c r="AY146" s="140">
        <f>+(0)+(0)+(0)+(0)+(0)+(0)+(21)+(0)</f>
        <v>21</v>
      </c>
      <c r="AZ146" s="140">
        <v>21</v>
      </c>
      <c r="BA146" s="140">
        <f t="shared" ref="BA146" si="239">+AW146+AX146+AY146-AZ146</f>
        <v>0</v>
      </c>
      <c r="BB146" s="135">
        <f t="shared" si="220"/>
        <v>0</v>
      </c>
      <c r="BC146" s="135">
        <f t="shared" ref="BC146" si="240">+(0)+(0)+(0)+(0)+(0)+(0)+(0)+(0)</f>
        <v>0</v>
      </c>
      <c r="BD146" s="50">
        <v>0</v>
      </c>
      <c r="BE146" s="50">
        <f t="shared" si="218"/>
        <v>0</v>
      </c>
      <c r="BG146" s="139">
        <v>0</v>
      </c>
      <c r="BH146" s="139">
        <v>0</v>
      </c>
      <c r="BI146" s="139">
        <v>0</v>
      </c>
      <c r="BJ146" s="139">
        <v>0</v>
      </c>
      <c r="BK146" s="139">
        <v>0</v>
      </c>
      <c r="BL146" s="139">
        <v>0</v>
      </c>
      <c r="BM146" s="139">
        <v>0</v>
      </c>
      <c r="BN146" s="139">
        <v>0</v>
      </c>
      <c r="BO146" s="139">
        <v>0</v>
      </c>
      <c r="BP146" s="139">
        <v>0</v>
      </c>
      <c r="BQ146" s="139">
        <v>0</v>
      </c>
      <c r="BR146" s="139">
        <v>0</v>
      </c>
      <c r="BS146" s="206">
        <v>0</v>
      </c>
      <c r="BT146" s="205">
        <f t="shared" si="219"/>
        <v>0</v>
      </c>
      <c r="BU146" s="153">
        <f t="shared" si="216"/>
        <v>1985.6</v>
      </c>
    </row>
    <row r="147" spans="1:73" ht="25.8" thickBot="1" x14ac:dyDescent="0.65">
      <c r="A147" s="53">
        <v>139</v>
      </c>
      <c r="B147" s="99" t="s">
        <v>407</v>
      </c>
      <c r="C147" s="100" t="s">
        <v>354</v>
      </c>
      <c r="D147" s="108">
        <v>43120</v>
      </c>
      <c r="E147" s="101">
        <v>3</v>
      </c>
      <c r="F147" s="101">
        <f t="shared" ref="F147" si="241">+E147*$C$1</f>
        <v>1599.9900000000002</v>
      </c>
      <c r="G147" s="101">
        <f t="shared" si="192"/>
        <v>882</v>
      </c>
      <c r="H147" s="102">
        <f t="shared" ref="H147" si="242">+F147+G147</f>
        <v>2481.9900000000002</v>
      </c>
      <c r="I147" s="103">
        <v>12</v>
      </c>
      <c r="J147" s="81">
        <v>12</v>
      </c>
      <c r="L147" s="110">
        <v>46042</v>
      </c>
      <c r="M147" s="107"/>
      <c r="N147" s="98" t="str">
        <f t="shared" ca="1" si="221"/>
        <v>O.K.</v>
      </c>
      <c r="Z147" s="3" t="s">
        <v>407</v>
      </c>
      <c r="AA147" s="34">
        <v>0</v>
      </c>
      <c r="AB147" s="34">
        <v>0</v>
      </c>
      <c r="AC147" s="35">
        <v>0</v>
      </c>
      <c r="AD147" s="35">
        <v>96</v>
      </c>
      <c r="AE147" s="35">
        <v>78</v>
      </c>
      <c r="AF147" s="24">
        <v>78</v>
      </c>
      <c r="AG147" s="21">
        <f t="shared" si="186"/>
        <v>0</v>
      </c>
      <c r="AH147" s="42">
        <v>0</v>
      </c>
      <c r="AI147" s="42">
        <f>+(0)+(0)+(0)+(0)+(54)+(54)</f>
        <v>108</v>
      </c>
      <c r="AJ147" s="35">
        <v>108</v>
      </c>
      <c r="AK147" s="17">
        <f t="shared" si="183"/>
        <v>0</v>
      </c>
      <c r="AL147" s="42">
        <f t="shared" ref="AL147:AM147" si="243">+(0)+(0)+(0)+(0)+(0)+(0)</f>
        <v>0</v>
      </c>
      <c r="AM147" s="42">
        <f t="shared" si="243"/>
        <v>0</v>
      </c>
      <c r="AN147" s="35">
        <v>0</v>
      </c>
      <c r="AO147" s="65">
        <f t="shared" si="171"/>
        <v>0</v>
      </c>
      <c r="AP147" s="42">
        <f>+(0)+(0)+(0)+(0)+(30)+(0)</f>
        <v>30</v>
      </c>
      <c r="AQ147" s="42">
        <f>+(0)+(0)+(0)+(0)+(0)+(96)</f>
        <v>96</v>
      </c>
      <c r="AR147" s="68">
        <v>120</v>
      </c>
      <c r="AS147" s="71">
        <f t="shared" si="146"/>
        <v>6</v>
      </c>
      <c r="AT147" s="60">
        <f>+(0)+(0)+(0)+(78)+(54)+(0)</f>
        <v>132</v>
      </c>
      <c r="AU147" s="60">
        <f t="shared" si="185"/>
        <v>0</v>
      </c>
      <c r="AV147" s="94">
        <v>120</v>
      </c>
      <c r="AW147" s="71">
        <f t="shared" si="147"/>
        <v>18</v>
      </c>
      <c r="AX147" s="60">
        <f>+(0)+(0)+(0)+(120)</f>
        <v>120</v>
      </c>
      <c r="AY147" s="113">
        <f>+(0)+(0)+(0)+(0)+(30)+(0)+(156)+(30)</f>
        <v>216</v>
      </c>
      <c r="AZ147" s="71">
        <v>120</v>
      </c>
      <c r="BA147" s="71">
        <f>(+AW147+AX147+AY147)-AZ147</f>
        <v>234</v>
      </c>
      <c r="BB147" s="135">
        <f>+(0)+(0)+(0)+(240)</f>
        <v>240</v>
      </c>
      <c r="BC147" s="135">
        <f>+(0)+(78)+(78)+(0)+(0)+(0)+(0)+(156)</f>
        <v>312</v>
      </c>
      <c r="BD147" s="50">
        <v>120</v>
      </c>
      <c r="BE147" s="50">
        <f t="shared" si="218"/>
        <v>666</v>
      </c>
      <c r="BG147" s="139">
        <v>0</v>
      </c>
      <c r="BH147" s="207">
        <v>186</v>
      </c>
      <c r="BI147" s="139">
        <v>0</v>
      </c>
      <c r="BJ147" s="139">
        <v>0</v>
      </c>
      <c r="BK147" s="139">
        <v>0</v>
      </c>
      <c r="BL147" s="139">
        <v>0</v>
      </c>
      <c r="BM147" s="139">
        <v>0</v>
      </c>
      <c r="BN147" s="139">
        <v>0</v>
      </c>
      <c r="BO147" s="139">
        <v>0</v>
      </c>
      <c r="BP147" s="139">
        <v>0</v>
      </c>
      <c r="BQ147" s="139">
        <v>0</v>
      </c>
      <c r="BR147" s="139">
        <v>0</v>
      </c>
      <c r="BS147" s="206">
        <v>120</v>
      </c>
      <c r="BT147" s="205">
        <f t="shared" si="219"/>
        <v>732</v>
      </c>
      <c r="BU147" s="153">
        <f t="shared" si="216"/>
        <v>882</v>
      </c>
    </row>
    <row r="148" spans="1:73" ht="25.8" thickBot="1" x14ac:dyDescent="0.65">
      <c r="A148" s="53">
        <v>140</v>
      </c>
      <c r="B148" s="99" t="s">
        <v>462</v>
      </c>
      <c r="C148" s="100" t="s">
        <v>165</v>
      </c>
      <c r="D148" s="108">
        <v>45517</v>
      </c>
      <c r="E148" s="101">
        <v>1</v>
      </c>
      <c r="F148" s="101">
        <f t="shared" ref="F148:F149" si="244">+E148*$C$1</f>
        <v>533.33000000000004</v>
      </c>
      <c r="G148" s="101">
        <f t="shared" ref="G148" si="245">+BU148</f>
        <v>1062.5999999999999</v>
      </c>
      <c r="H148" s="102">
        <f t="shared" ref="H148" si="246">+F148+G148</f>
        <v>1595.9299999999998</v>
      </c>
      <c r="I148" s="103">
        <v>14</v>
      </c>
      <c r="J148" s="81">
        <v>14</v>
      </c>
      <c r="L148" s="110">
        <v>46340</v>
      </c>
      <c r="M148" s="107"/>
      <c r="N148" s="98" t="str">
        <f t="shared" ca="1" si="221"/>
        <v>O.K.</v>
      </c>
      <c r="Z148" s="3" t="str">
        <f>+B148</f>
        <v>PALMA GALAZ JAVIER ALEJANDRO</v>
      </c>
      <c r="AA148" s="70">
        <v>762.6</v>
      </c>
      <c r="AB148" s="34"/>
      <c r="AC148" s="35"/>
      <c r="AD148" s="35"/>
      <c r="AE148" s="35"/>
      <c r="AF148" s="24"/>
      <c r="AG148" s="21"/>
      <c r="AH148" s="42"/>
      <c r="AI148" s="42"/>
      <c r="AJ148" s="35"/>
      <c r="AK148" s="17"/>
      <c r="AL148" s="42"/>
      <c r="AM148" s="42"/>
      <c r="AN148" s="35"/>
      <c r="AO148" s="65"/>
      <c r="AP148" s="42"/>
      <c r="AQ148" s="42"/>
      <c r="AR148" s="68"/>
      <c r="AS148" s="71"/>
      <c r="AT148" s="60"/>
      <c r="AU148" s="60"/>
      <c r="AV148" s="94"/>
      <c r="AW148" s="71"/>
      <c r="AX148" s="60">
        <f t="shared" si="222"/>
        <v>0</v>
      </c>
      <c r="AY148" s="113">
        <f t="shared" si="149"/>
        <v>0</v>
      </c>
      <c r="AZ148" s="72">
        <v>0</v>
      </c>
      <c r="BA148" s="72">
        <f t="shared" ref="BA148" si="247">(+AW148+AX148+AY148)-AZ148</f>
        <v>0</v>
      </c>
      <c r="BB148" s="135">
        <f t="shared" si="220"/>
        <v>0</v>
      </c>
      <c r="BC148" s="135">
        <f>+(0)+(186)+(0)+(0)+(0)+(0)+(0)+(139.2)</f>
        <v>325.2</v>
      </c>
      <c r="BD148" s="50">
        <v>150</v>
      </c>
      <c r="BE148" s="50">
        <f t="shared" si="218"/>
        <v>175.2</v>
      </c>
      <c r="BG148" s="139">
        <v>0</v>
      </c>
      <c r="BH148" s="139">
        <v>0</v>
      </c>
      <c r="BI148" s="139">
        <v>0</v>
      </c>
      <c r="BJ148" s="139">
        <v>0</v>
      </c>
      <c r="BK148" s="139">
        <v>0</v>
      </c>
      <c r="BL148" s="139">
        <v>0</v>
      </c>
      <c r="BM148" s="139">
        <v>0</v>
      </c>
      <c r="BN148" s="139">
        <v>0</v>
      </c>
      <c r="BO148" s="139">
        <v>0</v>
      </c>
      <c r="BP148" s="139">
        <v>0</v>
      </c>
      <c r="BQ148" s="139">
        <v>0</v>
      </c>
      <c r="BR148" s="139">
        <v>0</v>
      </c>
      <c r="BS148" s="206">
        <v>150</v>
      </c>
      <c r="BT148" s="205">
        <f t="shared" si="219"/>
        <v>25.199999999999989</v>
      </c>
      <c r="BU148" s="153">
        <f t="shared" si="216"/>
        <v>1062.5999999999999</v>
      </c>
    </row>
    <row r="149" spans="1:73" ht="25.8" thickBot="1" x14ac:dyDescent="0.65">
      <c r="A149" s="53">
        <v>141</v>
      </c>
      <c r="B149" s="143" t="s">
        <v>519</v>
      </c>
      <c r="C149" s="144" t="s">
        <v>165</v>
      </c>
      <c r="D149" s="145">
        <v>45950</v>
      </c>
      <c r="E149" s="146">
        <v>0</v>
      </c>
      <c r="F149" s="146">
        <f t="shared" si="244"/>
        <v>0</v>
      </c>
      <c r="G149" s="146">
        <f t="shared" ref="G149" si="248">+BU149</f>
        <v>0</v>
      </c>
      <c r="H149" s="147">
        <f t="shared" ref="H149" si="249">+F149+G149</f>
        <v>0</v>
      </c>
      <c r="I149" s="148">
        <v>15</v>
      </c>
      <c r="J149" s="81">
        <v>15</v>
      </c>
      <c r="L149" s="189">
        <v>46680</v>
      </c>
      <c r="M149" s="190"/>
      <c r="N149" s="151" t="str">
        <f t="shared" ca="1" si="221"/>
        <v>O.K.</v>
      </c>
      <c r="Z149" s="3" t="s">
        <v>519</v>
      </c>
      <c r="AA149" s="34"/>
      <c r="AB149" s="34"/>
      <c r="AC149" s="35"/>
      <c r="AD149" s="35"/>
      <c r="AE149" s="35"/>
      <c r="AF149" s="24"/>
      <c r="AG149" s="21"/>
      <c r="AH149" s="42"/>
      <c r="AI149" s="42"/>
      <c r="AJ149" s="35"/>
      <c r="AK149" s="17"/>
      <c r="AL149" s="42"/>
      <c r="AM149" s="42"/>
      <c r="AN149" s="35"/>
      <c r="AO149" s="65"/>
      <c r="AP149" s="42"/>
      <c r="AQ149" s="42"/>
      <c r="AR149" s="68"/>
      <c r="AS149" s="71"/>
      <c r="AT149" s="60"/>
      <c r="AU149" s="60"/>
      <c r="AV149" s="94"/>
      <c r="AW149" s="71"/>
      <c r="AX149" s="60"/>
      <c r="AY149" s="113"/>
      <c r="AZ149" s="72"/>
      <c r="BA149" s="72"/>
      <c r="BB149" s="135"/>
      <c r="BC149" s="135"/>
      <c r="BD149" s="50"/>
      <c r="BE149" s="50"/>
      <c r="BG149" s="139">
        <v>0</v>
      </c>
      <c r="BH149" s="139">
        <v>0</v>
      </c>
      <c r="BI149" s="139">
        <v>0</v>
      </c>
      <c r="BJ149" s="139">
        <v>0</v>
      </c>
      <c r="BK149" s="139">
        <v>0</v>
      </c>
      <c r="BL149" s="139">
        <v>0</v>
      </c>
      <c r="BM149" s="139">
        <v>0</v>
      </c>
      <c r="BN149" s="139">
        <v>0</v>
      </c>
      <c r="BO149" s="139">
        <v>0</v>
      </c>
      <c r="BP149" s="139">
        <v>0</v>
      </c>
      <c r="BQ149" s="139">
        <v>0</v>
      </c>
      <c r="BR149" s="139">
        <v>0</v>
      </c>
      <c r="BS149" s="206">
        <v>0</v>
      </c>
      <c r="BT149" s="205">
        <f t="shared" ref="BT149" si="250">+BE149+SUM(BG149:BJ149)+SUM(BK149:BR149)-BS149</f>
        <v>0</v>
      </c>
      <c r="BU149" s="153">
        <f t="shared" si="216"/>
        <v>0</v>
      </c>
    </row>
    <row r="150" spans="1:73" ht="25.8" thickBot="1" x14ac:dyDescent="0.65">
      <c r="A150" s="53">
        <v>142</v>
      </c>
      <c r="B150" s="99" t="s">
        <v>423</v>
      </c>
      <c r="C150" s="100" t="s">
        <v>165</v>
      </c>
      <c r="D150" s="108">
        <v>44840</v>
      </c>
      <c r="E150" s="101">
        <v>1</v>
      </c>
      <c r="F150" s="101">
        <f t="shared" si="191"/>
        <v>533.33000000000004</v>
      </c>
      <c r="G150" s="101">
        <f t="shared" si="192"/>
        <v>670.2</v>
      </c>
      <c r="H150" s="102">
        <f t="shared" si="193"/>
        <v>1203.5300000000002</v>
      </c>
      <c r="I150" s="103">
        <v>14</v>
      </c>
      <c r="J150" s="81">
        <v>14</v>
      </c>
      <c r="L150" s="96">
        <v>46301</v>
      </c>
      <c r="M150" s="97"/>
      <c r="N150" s="98" t="str">
        <f t="shared" ca="1" si="221"/>
        <v>O.K.</v>
      </c>
      <c r="Z150" s="3" t="s">
        <v>423</v>
      </c>
      <c r="AA150" s="34">
        <v>0</v>
      </c>
      <c r="AB150" s="34">
        <v>0</v>
      </c>
      <c r="AC150" s="35">
        <v>0</v>
      </c>
      <c r="AD150" s="35">
        <v>0</v>
      </c>
      <c r="AE150" s="35">
        <v>0</v>
      </c>
      <c r="AF150" s="24">
        <v>0</v>
      </c>
      <c r="AG150" s="21">
        <f t="shared" si="186"/>
        <v>0</v>
      </c>
      <c r="AH150" s="42">
        <v>0</v>
      </c>
      <c r="AI150" s="42">
        <v>0</v>
      </c>
      <c r="AJ150" s="35">
        <v>0</v>
      </c>
      <c r="AK150" s="17">
        <f t="shared" si="183"/>
        <v>0</v>
      </c>
      <c r="AL150" s="42">
        <v>0</v>
      </c>
      <c r="AM150" s="42">
        <v>0</v>
      </c>
      <c r="AN150" s="35">
        <v>0</v>
      </c>
      <c r="AO150" s="24">
        <f t="shared" si="171"/>
        <v>0</v>
      </c>
      <c r="AP150" s="42">
        <f t="shared" si="184"/>
        <v>0</v>
      </c>
      <c r="AQ150" s="42">
        <f>+(0)+(0)+(0)+(0)+(96)+(0)</f>
        <v>96</v>
      </c>
      <c r="AR150" s="68">
        <v>96</v>
      </c>
      <c r="AS150" s="71">
        <f t="shared" si="146"/>
        <v>0</v>
      </c>
      <c r="AT150" s="60">
        <f>+(96)+(0)+(0)+(96)+(54)+(54.6)</f>
        <v>300.60000000000002</v>
      </c>
      <c r="AU150" s="60">
        <f t="shared" si="185"/>
        <v>0</v>
      </c>
      <c r="AV150" s="94">
        <v>150</v>
      </c>
      <c r="AW150" s="71">
        <f t="shared" si="147"/>
        <v>150.60000000000002</v>
      </c>
      <c r="AX150" s="60">
        <f>+(0)+(0)+(0)+(78)</f>
        <v>78</v>
      </c>
      <c r="AY150" s="113">
        <f>+(0)+(0)+(0)+(0)+(0)+(0)+(78)+(0)</f>
        <v>78</v>
      </c>
      <c r="AZ150" s="72">
        <v>150</v>
      </c>
      <c r="BA150" s="72">
        <f t="shared" ref="BA150" si="251">(+AW150+AX150+AY150)-AZ150</f>
        <v>156.60000000000002</v>
      </c>
      <c r="BB150" s="135">
        <f t="shared" si="220"/>
        <v>0</v>
      </c>
      <c r="BC150" s="135">
        <f>+(0)+(0)+(0)+(0)+(21.6)+(0)+(0)+(96)</f>
        <v>117.6</v>
      </c>
      <c r="BD150" s="50">
        <v>150</v>
      </c>
      <c r="BE150" s="50">
        <f t="shared" si="218"/>
        <v>124.20000000000005</v>
      </c>
      <c r="BG150" s="139">
        <v>0</v>
      </c>
      <c r="BH150" s="139">
        <v>0</v>
      </c>
      <c r="BI150" s="139">
        <v>0</v>
      </c>
      <c r="BJ150" s="139">
        <v>0</v>
      </c>
      <c r="BK150" s="139">
        <v>0</v>
      </c>
      <c r="BL150" s="139">
        <v>0</v>
      </c>
      <c r="BM150" s="139">
        <v>0</v>
      </c>
      <c r="BN150" s="139">
        <v>0</v>
      </c>
      <c r="BO150" s="139">
        <v>0</v>
      </c>
      <c r="BP150" s="139">
        <v>0</v>
      </c>
      <c r="BQ150" s="139">
        <v>0</v>
      </c>
      <c r="BR150" s="139">
        <v>0</v>
      </c>
      <c r="BS150" s="206">
        <v>124.2</v>
      </c>
      <c r="BT150" s="205">
        <f t="shared" si="219"/>
        <v>0</v>
      </c>
      <c r="BU150" s="153">
        <f t="shared" si="216"/>
        <v>670.2</v>
      </c>
    </row>
    <row r="151" spans="1:73" ht="25.8" thickBot="1" x14ac:dyDescent="0.65">
      <c r="A151" s="53">
        <v>143</v>
      </c>
      <c r="B151" s="99" t="s">
        <v>271</v>
      </c>
      <c r="C151" s="100" t="s">
        <v>168</v>
      </c>
      <c r="D151" s="108">
        <v>43319</v>
      </c>
      <c r="E151" s="101">
        <v>4</v>
      </c>
      <c r="F151" s="101">
        <f t="shared" si="191"/>
        <v>2133.3200000000002</v>
      </c>
      <c r="G151" s="101">
        <f t="shared" si="192"/>
        <v>1038</v>
      </c>
      <c r="H151" s="102">
        <f t="shared" si="193"/>
        <v>3171.32</v>
      </c>
      <c r="I151" s="103">
        <v>11</v>
      </c>
      <c r="J151" s="81">
        <v>11</v>
      </c>
      <c r="K151" s="208" t="s">
        <v>309</v>
      </c>
      <c r="L151" s="96">
        <v>46301</v>
      </c>
      <c r="M151" s="97"/>
      <c r="N151" s="98" t="str">
        <f t="shared" ca="1" si="221"/>
        <v>O.K.</v>
      </c>
      <c r="Z151" s="3" t="s">
        <v>271</v>
      </c>
      <c r="AA151" s="34">
        <v>78</v>
      </c>
      <c r="AB151" s="34">
        <v>0</v>
      </c>
      <c r="AC151" s="35">
        <v>0</v>
      </c>
      <c r="AD151" s="35">
        <v>0</v>
      </c>
      <c r="AE151" s="35">
        <v>120</v>
      </c>
      <c r="AF151" s="24">
        <v>234</v>
      </c>
      <c r="AG151" s="21">
        <f t="shared" si="186"/>
        <v>114</v>
      </c>
      <c r="AH151" s="42">
        <v>210</v>
      </c>
      <c r="AI151" s="42">
        <f>+(0)+(132)+(0)+(0)+(54)+(294.6)</f>
        <v>480.6</v>
      </c>
      <c r="AJ151" s="35">
        <v>120</v>
      </c>
      <c r="AK151" s="17">
        <f t="shared" si="183"/>
        <v>684.6</v>
      </c>
      <c r="AL151" s="42">
        <f t="shared" si="201"/>
        <v>0</v>
      </c>
      <c r="AM151" s="42">
        <f>+(0)+(75.6)+(0)+(0)+(0)+(0)</f>
        <v>75.599999999999994</v>
      </c>
      <c r="AN151" s="35">
        <v>120</v>
      </c>
      <c r="AO151" s="24">
        <f t="shared" si="171"/>
        <v>640.20000000000005</v>
      </c>
      <c r="AP151" s="42">
        <f>+(0)+(0)+(0)+(0)+(0)+(199.2)</f>
        <v>199.2</v>
      </c>
      <c r="AQ151" s="42">
        <f>+(0)+(0)+(216)+(0)+(78)+(0)</f>
        <v>294</v>
      </c>
      <c r="AR151" s="68">
        <v>120</v>
      </c>
      <c r="AS151" s="71">
        <f t="shared" si="146"/>
        <v>1013.4000000000001</v>
      </c>
      <c r="AT151" s="60">
        <f>+(0)+(0)+(0)+(0)+(54)+(0)</f>
        <v>54</v>
      </c>
      <c r="AU151" s="60">
        <f t="shared" si="185"/>
        <v>0</v>
      </c>
      <c r="AV151" s="94">
        <v>120</v>
      </c>
      <c r="AW151" s="71">
        <f t="shared" si="147"/>
        <v>947.40000000000009</v>
      </c>
      <c r="AX151" s="60">
        <f>+(312)+(0)+(0)+(0)</f>
        <v>312</v>
      </c>
      <c r="AY151" s="113">
        <f t="shared" ref="AY151:AY391" si="252">+(0)+(0)+(0)+(0)+(0)+(0)+(0)+(0)</f>
        <v>0</v>
      </c>
      <c r="AZ151" s="72">
        <v>120</v>
      </c>
      <c r="BA151" s="72">
        <f>(+AW151+AX151+AY151)-AZ151</f>
        <v>1139.4000000000001</v>
      </c>
      <c r="BB151" s="135">
        <f t="shared" si="220"/>
        <v>0</v>
      </c>
      <c r="BC151" s="135">
        <f>+(0)+(0)+(0)+(0)+(108)+(0)+(0)+(0)</f>
        <v>108</v>
      </c>
      <c r="BD151" s="50">
        <v>120</v>
      </c>
      <c r="BE151" s="50">
        <f t="shared" si="218"/>
        <v>1127.4000000000001</v>
      </c>
      <c r="BG151" s="139">
        <v>0</v>
      </c>
      <c r="BH151" s="139">
        <v>0</v>
      </c>
      <c r="BI151" s="139">
        <v>0</v>
      </c>
      <c r="BJ151" s="139">
        <v>0</v>
      </c>
      <c r="BK151" s="139">
        <v>0</v>
      </c>
      <c r="BL151" s="139">
        <v>0</v>
      </c>
      <c r="BM151" s="139">
        <v>0</v>
      </c>
      <c r="BN151" s="139">
        <v>0</v>
      </c>
      <c r="BO151" s="139">
        <v>0</v>
      </c>
      <c r="BP151" s="139">
        <v>0</v>
      </c>
      <c r="BQ151" s="139">
        <v>0</v>
      </c>
      <c r="BR151" s="139">
        <v>0</v>
      </c>
      <c r="BS151" s="206">
        <v>120</v>
      </c>
      <c r="BT151" s="205">
        <f t="shared" si="219"/>
        <v>1007.4000000000001</v>
      </c>
      <c r="BU151" s="153">
        <f t="shared" si="216"/>
        <v>1038</v>
      </c>
    </row>
    <row r="152" spans="1:73" ht="25.8" thickBot="1" x14ac:dyDescent="0.65">
      <c r="A152" s="53">
        <v>144</v>
      </c>
      <c r="B152" s="143" t="s">
        <v>494</v>
      </c>
      <c r="C152" s="144" t="s">
        <v>164</v>
      </c>
      <c r="D152" s="145">
        <v>45763</v>
      </c>
      <c r="E152" s="146">
        <v>0</v>
      </c>
      <c r="F152" s="146">
        <f t="shared" si="191"/>
        <v>0</v>
      </c>
      <c r="G152" s="146">
        <f t="shared" si="192"/>
        <v>0</v>
      </c>
      <c r="H152" s="147">
        <f t="shared" si="193"/>
        <v>0</v>
      </c>
      <c r="I152" s="148">
        <v>15</v>
      </c>
      <c r="J152" s="81"/>
      <c r="L152" s="149">
        <v>46493</v>
      </c>
      <c r="M152" s="150"/>
      <c r="N152" s="151" t="str">
        <f t="shared" ca="1" si="221"/>
        <v>O.K.</v>
      </c>
      <c r="Z152" s="3" t="s">
        <v>494</v>
      </c>
      <c r="AA152" s="34"/>
      <c r="AB152" s="34"/>
      <c r="AC152" s="35"/>
      <c r="AD152" s="35"/>
      <c r="AE152" s="35"/>
      <c r="AF152" s="24"/>
      <c r="AG152" s="21"/>
      <c r="AH152" s="42"/>
      <c r="AI152" s="42"/>
      <c r="AJ152" s="35"/>
      <c r="AK152" s="17"/>
      <c r="AL152" s="42"/>
      <c r="AM152" s="42"/>
      <c r="AN152" s="35"/>
      <c r="AO152" s="24"/>
      <c r="AP152" s="42"/>
      <c r="AQ152" s="42"/>
      <c r="AR152" s="68"/>
      <c r="AS152" s="71"/>
      <c r="AT152" s="60"/>
      <c r="AU152" s="60"/>
      <c r="AV152" s="94"/>
      <c r="AW152" s="71"/>
      <c r="AX152" s="60"/>
      <c r="AY152" s="113"/>
      <c r="AZ152" s="72"/>
      <c r="BA152" s="72"/>
      <c r="BB152" s="135">
        <f t="shared" si="220"/>
        <v>0</v>
      </c>
      <c r="BC152" s="135">
        <f t="shared" si="217"/>
        <v>0</v>
      </c>
      <c r="BD152" s="50">
        <v>0</v>
      </c>
      <c r="BE152" s="50">
        <f t="shared" si="218"/>
        <v>0</v>
      </c>
      <c r="BG152" s="139">
        <v>0</v>
      </c>
      <c r="BH152" s="139">
        <v>0</v>
      </c>
      <c r="BI152" s="139">
        <v>0</v>
      </c>
      <c r="BJ152" s="139">
        <v>0</v>
      </c>
      <c r="BK152" s="139">
        <v>0</v>
      </c>
      <c r="BL152" s="139">
        <v>0</v>
      </c>
      <c r="BM152" s="139">
        <v>0</v>
      </c>
      <c r="BN152" s="139">
        <v>0</v>
      </c>
      <c r="BO152" s="139">
        <v>0</v>
      </c>
      <c r="BP152" s="139">
        <v>0</v>
      </c>
      <c r="BQ152" s="139">
        <v>0</v>
      </c>
      <c r="BR152" s="139">
        <v>0</v>
      </c>
      <c r="BS152" s="206">
        <v>0</v>
      </c>
      <c r="BT152" s="205">
        <f t="shared" si="219"/>
        <v>0</v>
      </c>
      <c r="BU152" s="153">
        <f t="shared" si="216"/>
        <v>0</v>
      </c>
    </row>
    <row r="153" spans="1:73" ht="25.8" thickBot="1" x14ac:dyDescent="0.65">
      <c r="A153" s="53">
        <v>145</v>
      </c>
      <c r="B153" s="99" t="s">
        <v>247</v>
      </c>
      <c r="C153" s="100" t="s">
        <v>168</v>
      </c>
      <c r="D153" s="108">
        <v>43165</v>
      </c>
      <c r="E153" s="101">
        <v>3</v>
      </c>
      <c r="F153" s="101">
        <f t="shared" si="191"/>
        <v>1599.9900000000002</v>
      </c>
      <c r="G153" s="101">
        <f t="shared" si="192"/>
        <v>1056</v>
      </c>
      <c r="H153" s="102">
        <f t="shared" si="193"/>
        <v>2655.9900000000002</v>
      </c>
      <c r="I153" s="103">
        <v>12</v>
      </c>
      <c r="J153" s="81">
        <v>12</v>
      </c>
      <c r="L153" s="96">
        <v>46087</v>
      </c>
      <c r="M153" s="97"/>
      <c r="N153" s="98" t="str">
        <f t="shared" ca="1" si="221"/>
        <v>O.K.</v>
      </c>
      <c r="Z153" s="3" t="s">
        <v>247</v>
      </c>
      <c r="AA153" s="34">
        <v>0</v>
      </c>
      <c r="AB153" s="34">
        <v>0</v>
      </c>
      <c r="AC153" s="35">
        <v>0</v>
      </c>
      <c r="AD153" s="35">
        <v>96</v>
      </c>
      <c r="AE153" s="35">
        <v>120</v>
      </c>
      <c r="AF153" s="24">
        <v>162.6</v>
      </c>
      <c r="AG153" s="21">
        <f t="shared" si="186"/>
        <v>42.599999999999994</v>
      </c>
      <c r="AH153" s="42">
        <v>210</v>
      </c>
      <c r="AI153" s="42">
        <f>+(0)+(0)+(0)+(0)+(54)+(54)</f>
        <v>108</v>
      </c>
      <c r="AJ153" s="35">
        <v>120</v>
      </c>
      <c r="AK153" s="17">
        <f t="shared" si="183"/>
        <v>240.60000000000002</v>
      </c>
      <c r="AL153" s="42">
        <f t="shared" si="201"/>
        <v>0</v>
      </c>
      <c r="AM153" s="42">
        <f t="shared" si="201"/>
        <v>0</v>
      </c>
      <c r="AN153" s="35">
        <v>120</v>
      </c>
      <c r="AO153" s="24">
        <f t="shared" si="171"/>
        <v>120.60000000000002</v>
      </c>
      <c r="AP153" s="42">
        <f t="shared" si="184"/>
        <v>0</v>
      </c>
      <c r="AQ153" s="42">
        <f>+(0)+(0)+(0)+(0)+(156)+(0)</f>
        <v>156</v>
      </c>
      <c r="AR153" s="68">
        <v>120</v>
      </c>
      <c r="AS153" s="71">
        <f t="shared" si="146"/>
        <v>156.60000000000002</v>
      </c>
      <c r="AT153" s="60">
        <f>+(0)+(108)+(0)+(186)+(54)+(0)</f>
        <v>348</v>
      </c>
      <c r="AU153" s="60">
        <f>+(0)+(96)+(0)+(0)+(0)+(0)</f>
        <v>96</v>
      </c>
      <c r="AV153" s="94">
        <v>120</v>
      </c>
      <c r="AW153" s="71">
        <f t="shared" si="147"/>
        <v>480.6</v>
      </c>
      <c r="AX153" s="60">
        <f>+(0)+(0)+(108)+(54.6)</f>
        <v>162.6</v>
      </c>
      <c r="AY153" s="113">
        <f t="shared" si="252"/>
        <v>0</v>
      </c>
      <c r="AZ153" s="72">
        <v>120</v>
      </c>
      <c r="BA153" s="72">
        <f t="shared" ref="BA153:BA161" si="253">(+AW153+AX153+AY153)-AZ153</f>
        <v>523.20000000000005</v>
      </c>
      <c r="BB153" s="135">
        <f t="shared" si="220"/>
        <v>0</v>
      </c>
      <c r="BC153" s="135">
        <f>+(0)+(0)+(0)+(0)+(0)+(0)+(204)+(0)</f>
        <v>204</v>
      </c>
      <c r="BD153" s="50">
        <v>120</v>
      </c>
      <c r="BE153" s="50">
        <f t="shared" si="218"/>
        <v>607.20000000000005</v>
      </c>
      <c r="BG153" s="207">
        <v>180</v>
      </c>
      <c r="BH153" s="139">
        <v>0</v>
      </c>
      <c r="BI153" s="139">
        <v>0</v>
      </c>
      <c r="BJ153" s="139">
        <v>0</v>
      </c>
      <c r="BK153" s="139">
        <v>0</v>
      </c>
      <c r="BL153" s="139">
        <v>0</v>
      </c>
      <c r="BM153" s="139">
        <v>0</v>
      </c>
      <c r="BN153" s="139">
        <v>0</v>
      </c>
      <c r="BO153" s="139">
        <v>0</v>
      </c>
      <c r="BP153" s="139">
        <v>0</v>
      </c>
      <c r="BQ153" s="139">
        <v>0</v>
      </c>
      <c r="BR153" s="139">
        <v>0</v>
      </c>
      <c r="BS153" s="206">
        <v>120</v>
      </c>
      <c r="BT153" s="205">
        <f t="shared" si="219"/>
        <v>667.2</v>
      </c>
      <c r="BU153" s="153">
        <f t="shared" si="216"/>
        <v>1056</v>
      </c>
    </row>
    <row r="154" spans="1:73" ht="25.8" thickBot="1" x14ac:dyDescent="0.65">
      <c r="A154" s="53">
        <v>146</v>
      </c>
      <c r="B154" s="143" t="s">
        <v>292</v>
      </c>
      <c r="C154" s="144" t="s">
        <v>165</v>
      </c>
      <c r="D154" s="145">
        <v>43711</v>
      </c>
      <c r="E154" s="146">
        <v>3</v>
      </c>
      <c r="F154" s="146">
        <f t="shared" si="191"/>
        <v>1599.9900000000002</v>
      </c>
      <c r="G154" s="146">
        <f t="shared" si="192"/>
        <v>1050</v>
      </c>
      <c r="H154" s="147">
        <f t="shared" si="193"/>
        <v>2649.9900000000002</v>
      </c>
      <c r="I154" s="148">
        <v>12</v>
      </c>
      <c r="J154" s="81">
        <v>12</v>
      </c>
      <c r="K154" s="208" t="s">
        <v>309</v>
      </c>
      <c r="L154" s="149">
        <v>46633</v>
      </c>
      <c r="M154" s="150"/>
      <c r="N154" s="151" t="str">
        <f t="shared" ca="1" si="221"/>
        <v>O.K.</v>
      </c>
      <c r="Z154" s="3" t="s">
        <v>292</v>
      </c>
      <c r="AA154" s="34">
        <v>0</v>
      </c>
      <c r="AB154" s="34">
        <v>0</v>
      </c>
      <c r="AC154" s="35">
        <v>0</v>
      </c>
      <c r="AD154" s="35">
        <v>0</v>
      </c>
      <c r="AE154" s="35">
        <v>0</v>
      </c>
      <c r="AF154" s="24">
        <v>0</v>
      </c>
      <c r="AG154" s="21">
        <f t="shared" si="186"/>
        <v>0</v>
      </c>
      <c r="AH154" s="42">
        <v>0</v>
      </c>
      <c r="AI154" s="42">
        <f>+(0)+(348)+(96)+(324)+(54)+(294.6)</f>
        <v>1116.5999999999999</v>
      </c>
      <c r="AJ154" s="35">
        <v>150</v>
      </c>
      <c r="AK154" s="17">
        <f t="shared" si="183"/>
        <v>966.59999999999991</v>
      </c>
      <c r="AL154" s="42">
        <f>+(0)+(0)+(120)+(0)+(0)+(156)</f>
        <v>276</v>
      </c>
      <c r="AM154" s="42">
        <f>+(0)+(54)+(108)+(0)+(0)+(0)</f>
        <v>162</v>
      </c>
      <c r="AN154" s="35">
        <v>150</v>
      </c>
      <c r="AO154" s="24">
        <f t="shared" si="171"/>
        <v>1254.5999999999999</v>
      </c>
      <c r="AP154" s="42">
        <f t="shared" si="184"/>
        <v>0</v>
      </c>
      <c r="AQ154" s="42">
        <f>+(0)+(0)+(0)+(0)+(132)+(192)</f>
        <v>324</v>
      </c>
      <c r="AR154" s="68">
        <v>150</v>
      </c>
      <c r="AS154" s="71">
        <f t="shared" si="146"/>
        <v>1428.6</v>
      </c>
      <c r="AT154" s="60">
        <f>+(54)+(0)+(0)+(78)+(84)+(0)</f>
        <v>216</v>
      </c>
      <c r="AU154" s="60">
        <f t="shared" si="185"/>
        <v>0</v>
      </c>
      <c r="AV154" s="94">
        <v>150</v>
      </c>
      <c r="AW154" s="71">
        <f t="shared" si="147"/>
        <v>1494.6</v>
      </c>
      <c r="AX154" s="60">
        <f>+(0)+(0)+(0)+(270)</f>
        <v>270</v>
      </c>
      <c r="AY154" s="113">
        <f>+(0)+(0)+(96)+(0)+(0)+(0)+(0)+(0)</f>
        <v>96</v>
      </c>
      <c r="AZ154" s="72">
        <v>150</v>
      </c>
      <c r="BA154" s="72">
        <f t="shared" si="253"/>
        <v>1710.6</v>
      </c>
      <c r="BB154" s="135">
        <f>+(0)+(0)+(0)+(108)</f>
        <v>108</v>
      </c>
      <c r="BC154" s="135">
        <f>+(42)+(126)+(174)+(0)+(78)+(0)+(0)+(0)</f>
        <v>420</v>
      </c>
      <c r="BD154" s="50">
        <v>150</v>
      </c>
      <c r="BE154" s="50">
        <f t="shared" ref="BE154:BE166" si="254">(BA154+BB154+BC154)-BD154</f>
        <v>2088.6</v>
      </c>
      <c r="BG154" s="207">
        <v>84</v>
      </c>
      <c r="BH154" s="139">
        <v>0</v>
      </c>
      <c r="BI154" s="139">
        <v>0</v>
      </c>
      <c r="BJ154" s="139">
        <v>0</v>
      </c>
      <c r="BK154" s="139">
        <v>0</v>
      </c>
      <c r="BL154" s="139">
        <v>0</v>
      </c>
      <c r="BM154" s="139">
        <v>0</v>
      </c>
      <c r="BN154" s="139">
        <v>0</v>
      </c>
      <c r="BO154" s="139">
        <v>0</v>
      </c>
      <c r="BP154" s="139">
        <v>0</v>
      </c>
      <c r="BQ154" s="139">
        <v>0</v>
      </c>
      <c r="BR154" s="139">
        <v>0</v>
      </c>
      <c r="BS154" s="206">
        <v>150</v>
      </c>
      <c r="BT154" s="205">
        <f t="shared" si="219"/>
        <v>2022.6</v>
      </c>
      <c r="BU154" s="153">
        <f t="shared" si="216"/>
        <v>1050</v>
      </c>
    </row>
    <row r="155" spans="1:73" ht="25.8" thickBot="1" x14ac:dyDescent="0.65">
      <c r="A155" s="53">
        <v>147</v>
      </c>
      <c r="B155" s="143" t="s">
        <v>289</v>
      </c>
      <c r="C155" s="144" t="s">
        <v>165</v>
      </c>
      <c r="D155" s="145">
        <v>42491</v>
      </c>
      <c r="E155" s="146">
        <v>5</v>
      </c>
      <c r="F155" s="146">
        <f>+E155*$C$1</f>
        <v>2666.65</v>
      </c>
      <c r="G155" s="146">
        <f t="shared" si="192"/>
        <v>1218</v>
      </c>
      <c r="H155" s="147">
        <f>+F155+G155</f>
        <v>3884.65</v>
      </c>
      <c r="I155" s="148">
        <v>11</v>
      </c>
      <c r="J155" s="81">
        <v>11</v>
      </c>
      <c r="L155" s="165">
        <v>46462</v>
      </c>
      <c r="M155" s="150"/>
      <c r="N155" s="151" t="str">
        <f t="shared" ca="1" si="221"/>
        <v>O.K.</v>
      </c>
      <c r="Z155" s="3" t="s">
        <v>289</v>
      </c>
      <c r="AA155" s="34">
        <v>0</v>
      </c>
      <c r="AB155" s="34">
        <v>96</v>
      </c>
      <c r="AC155" s="35">
        <v>96</v>
      </c>
      <c r="AD155" s="35">
        <v>0</v>
      </c>
      <c r="AE155" s="35">
        <v>0</v>
      </c>
      <c r="AF155" s="24">
        <v>0</v>
      </c>
      <c r="AG155" s="21">
        <f t="shared" si="186"/>
        <v>0</v>
      </c>
      <c r="AH155" s="42">
        <v>0</v>
      </c>
      <c r="AI155" s="42">
        <f>+(0)+(132)+(0)+(54)+(0)+(162)</f>
        <v>348</v>
      </c>
      <c r="AJ155" s="35">
        <v>150</v>
      </c>
      <c r="AK155" s="17">
        <f t="shared" si="183"/>
        <v>198</v>
      </c>
      <c r="AL155" s="42">
        <f t="shared" si="201"/>
        <v>0</v>
      </c>
      <c r="AM155" s="42">
        <f>+(78)+(0)+(0)+(0)+(0)+(0)</f>
        <v>78</v>
      </c>
      <c r="AN155" s="35">
        <v>150</v>
      </c>
      <c r="AO155" s="24">
        <f t="shared" si="171"/>
        <v>126</v>
      </c>
      <c r="AP155" s="42">
        <f t="shared" si="184"/>
        <v>0</v>
      </c>
      <c r="AQ155" s="42">
        <f>+(0)+(0)+(0)+(0)+(54)+(96)</f>
        <v>150</v>
      </c>
      <c r="AR155" s="68">
        <v>150</v>
      </c>
      <c r="AS155" s="71">
        <f t="shared" si="146"/>
        <v>126</v>
      </c>
      <c r="AT155" s="60">
        <f t="shared" si="185"/>
        <v>0</v>
      </c>
      <c r="AU155" s="60">
        <f t="shared" si="185"/>
        <v>0</v>
      </c>
      <c r="AV155" s="94">
        <v>126</v>
      </c>
      <c r="AW155" s="71">
        <f t="shared" si="147"/>
        <v>0</v>
      </c>
      <c r="AX155" s="60">
        <f>+(0)+(0)+(0)+(78)</f>
        <v>78</v>
      </c>
      <c r="AY155" s="113">
        <f>+(120)+(0)+(0)+(0)+(0)+(0)+(0)+(0)</f>
        <v>120</v>
      </c>
      <c r="AZ155" s="72">
        <v>150</v>
      </c>
      <c r="BA155" s="72">
        <f t="shared" si="253"/>
        <v>48</v>
      </c>
      <c r="BB155" s="135">
        <f>+(0)+(0)+(0)+(78)</f>
        <v>78</v>
      </c>
      <c r="BC155" s="135">
        <f>+(0)+(0)+(78)+(0)+(0)+(0)+(0)+(120)</f>
        <v>198</v>
      </c>
      <c r="BD155" s="50">
        <v>150</v>
      </c>
      <c r="BE155" s="50">
        <f t="shared" si="254"/>
        <v>174</v>
      </c>
      <c r="BG155" s="139">
        <v>0</v>
      </c>
      <c r="BH155" s="139">
        <v>0</v>
      </c>
      <c r="BI155" s="139">
        <v>0</v>
      </c>
      <c r="BJ155" s="139">
        <v>0</v>
      </c>
      <c r="BK155" s="139">
        <v>0</v>
      </c>
      <c r="BL155" s="139">
        <v>0</v>
      </c>
      <c r="BM155" s="139">
        <v>0</v>
      </c>
      <c r="BN155" s="139">
        <v>0</v>
      </c>
      <c r="BO155" s="139">
        <v>0</v>
      </c>
      <c r="BP155" s="139">
        <v>0</v>
      </c>
      <c r="BQ155" s="139">
        <v>0</v>
      </c>
      <c r="BR155" s="139">
        <v>0</v>
      </c>
      <c r="BS155" s="206">
        <v>150</v>
      </c>
      <c r="BT155" s="205">
        <f t="shared" si="219"/>
        <v>24</v>
      </c>
      <c r="BU155" s="153">
        <f t="shared" si="216"/>
        <v>1218</v>
      </c>
    </row>
    <row r="156" spans="1:73" ht="25.8" thickBot="1" x14ac:dyDescent="0.65">
      <c r="A156" s="53">
        <v>148</v>
      </c>
      <c r="B156" s="99" t="s">
        <v>284</v>
      </c>
      <c r="C156" s="100" t="s">
        <v>168</v>
      </c>
      <c r="D156" s="108">
        <v>43405</v>
      </c>
      <c r="E156" s="101">
        <v>3</v>
      </c>
      <c r="F156" s="101">
        <f t="shared" si="191"/>
        <v>1599.9900000000002</v>
      </c>
      <c r="G156" s="101">
        <f t="shared" si="192"/>
        <v>960</v>
      </c>
      <c r="H156" s="102">
        <f t="shared" si="193"/>
        <v>2559.9900000000002</v>
      </c>
      <c r="I156" s="103">
        <v>12</v>
      </c>
      <c r="J156" s="81">
        <v>12</v>
      </c>
      <c r="L156" s="96">
        <v>46327</v>
      </c>
      <c r="M156" s="97"/>
      <c r="N156" s="98" t="str">
        <f t="shared" ca="1" si="221"/>
        <v>O.K.</v>
      </c>
      <c r="Z156" s="3" t="s">
        <v>284</v>
      </c>
      <c r="AA156" s="34">
        <v>0</v>
      </c>
      <c r="AB156" s="34">
        <v>0</v>
      </c>
      <c r="AC156" s="35">
        <v>0</v>
      </c>
      <c r="AD156" s="35">
        <v>0</v>
      </c>
      <c r="AE156" s="35">
        <v>120</v>
      </c>
      <c r="AF156" s="24">
        <v>156</v>
      </c>
      <c r="AG156" s="21">
        <f t="shared" si="186"/>
        <v>36</v>
      </c>
      <c r="AH156" s="42">
        <f>84.6+78</f>
        <v>162.6</v>
      </c>
      <c r="AI156" s="42">
        <f>+(0)+(78)+(78)+(0)+(0)+(37.8)</f>
        <v>193.8</v>
      </c>
      <c r="AJ156" s="35">
        <v>120</v>
      </c>
      <c r="AK156" s="17">
        <f t="shared" si="183"/>
        <v>272.39999999999998</v>
      </c>
      <c r="AL156" s="42">
        <f>+(0)+(0)+(0)+(0)+(0)+(25.2)</f>
        <v>25.2</v>
      </c>
      <c r="AM156" s="42">
        <f>+(78)+(108)+(0)+(0)+(0)+(30)</f>
        <v>216</v>
      </c>
      <c r="AN156" s="35">
        <v>120</v>
      </c>
      <c r="AO156" s="24">
        <f t="shared" si="171"/>
        <v>393.59999999999991</v>
      </c>
      <c r="AP156" s="42">
        <f t="shared" si="184"/>
        <v>0</v>
      </c>
      <c r="AQ156" s="42">
        <f>+(0)+(0)+(0)+(0)+(0)+(96)</f>
        <v>96</v>
      </c>
      <c r="AR156" s="68">
        <v>120</v>
      </c>
      <c r="AS156" s="71">
        <f t="shared" si="146"/>
        <v>369.59999999999991</v>
      </c>
      <c r="AT156" s="60">
        <f>+(108)+(0)+(0)+(78)+(175.2)+(0)</f>
        <v>361.2</v>
      </c>
      <c r="AU156" s="60">
        <f>+(0)+(30)+(0)+(0)+(0)+(0)</f>
        <v>30</v>
      </c>
      <c r="AV156" s="94">
        <v>120</v>
      </c>
      <c r="AW156" s="71">
        <f t="shared" si="147"/>
        <v>640.79999999999995</v>
      </c>
      <c r="AX156" s="60">
        <f t="shared" ref="AX156:AX385" si="255">+(0)+(0)+(0)+(0)</f>
        <v>0</v>
      </c>
      <c r="AY156" s="113">
        <f>+(52.2)+(0)+(0)+(0)+(0)+(0)+(0)+(0)</f>
        <v>52.2</v>
      </c>
      <c r="AZ156" s="72">
        <v>120</v>
      </c>
      <c r="BA156" s="72">
        <f t="shared" si="253"/>
        <v>573</v>
      </c>
      <c r="BB156" s="135">
        <f>+(0)+(0)+(0)+(54)</f>
        <v>54</v>
      </c>
      <c r="BC156" s="135">
        <f>+(67.2)+(51)+(0)+(0)+(0)+(0)+(0)+(0)</f>
        <v>118.2</v>
      </c>
      <c r="BD156" s="50">
        <v>120</v>
      </c>
      <c r="BE156" s="50">
        <f t="shared" si="254"/>
        <v>625.20000000000005</v>
      </c>
      <c r="BG156" s="139">
        <v>0</v>
      </c>
      <c r="BH156" s="139">
        <v>0</v>
      </c>
      <c r="BI156" s="139">
        <v>0</v>
      </c>
      <c r="BJ156" s="139">
        <v>0</v>
      </c>
      <c r="BK156" s="139">
        <v>0</v>
      </c>
      <c r="BL156" s="139">
        <v>0</v>
      </c>
      <c r="BM156" s="139">
        <v>0</v>
      </c>
      <c r="BN156" s="139">
        <v>0</v>
      </c>
      <c r="BO156" s="139">
        <v>0</v>
      </c>
      <c r="BP156" s="139">
        <v>0</v>
      </c>
      <c r="BQ156" s="139">
        <v>0</v>
      </c>
      <c r="BR156" s="139">
        <v>0</v>
      </c>
      <c r="BS156" s="206">
        <v>120</v>
      </c>
      <c r="BT156" s="205">
        <f t="shared" si="219"/>
        <v>505.20000000000005</v>
      </c>
      <c r="BU156" s="153">
        <f t="shared" si="216"/>
        <v>960</v>
      </c>
    </row>
    <row r="157" spans="1:73" ht="25.8" thickBot="1" x14ac:dyDescent="0.65">
      <c r="A157" s="53">
        <v>149</v>
      </c>
      <c r="B157" s="143" t="s">
        <v>504</v>
      </c>
      <c r="C157" s="144" t="s">
        <v>168</v>
      </c>
      <c r="D157" s="145">
        <v>45839</v>
      </c>
      <c r="E157" s="146">
        <v>0</v>
      </c>
      <c r="F157" s="146">
        <f t="shared" si="191"/>
        <v>0</v>
      </c>
      <c r="G157" s="146">
        <f t="shared" ref="G157" si="256">+BU157</f>
        <v>0</v>
      </c>
      <c r="H157" s="147">
        <f t="shared" ref="H157" si="257">+F157+G157</f>
        <v>0</v>
      </c>
      <c r="I157" s="148">
        <v>15</v>
      </c>
      <c r="J157" s="81">
        <v>15</v>
      </c>
      <c r="L157" s="149">
        <v>46569</v>
      </c>
      <c r="M157" s="150"/>
      <c r="N157" s="151" t="str">
        <f t="shared" ca="1" si="221"/>
        <v>O.K.</v>
      </c>
      <c r="Z157" s="3" t="s">
        <v>504</v>
      </c>
      <c r="AA157" s="34"/>
      <c r="AB157" s="34"/>
      <c r="AC157" s="35"/>
      <c r="AD157" s="35"/>
      <c r="AE157" s="35"/>
      <c r="AF157" s="24"/>
      <c r="AG157" s="21"/>
      <c r="AH157" s="42"/>
      <c r="AI157" s="42"/>
      <c r="AJ157" s="35"/>
      <c r="AK157" s="17"/>
      <c r="AL157" s="42"/>
      <c r="AM157" s="42"/>
      <c r="AN157" s="35"/>
      <c r="AO157" s="24"/>
      <c r="AP157" s="42"/>
      <c r="AQ157" s="42"/>
      <c r="AR157" s="68"/>
      <c r="AS157" s="71"/>
      <c r="AT157" s="60"/>
      <c r="AU157" s="60"/>
      <c r="AV157" s="94"/>
      <c r="AW157" s="71"/>
      <c r="AX157" s="60"/>
      <c r="AY157" s="113"/>
      <c r="AZ157" s="72"/>
      <c r="BA157" s="72"/>
      <c r="BB157" s="135">
        <f>+(0)+(0)+(0)+(0)</f>
        <v>0</v>
      </c>
      <c r="BC157" s="135">
        <f>+(0)+(0)+(0)+(0)+(0)+(0)+(0)+(0)</f>
        <v>0</v>
      </c>
      <c r="BD157" s="50">
        <v>0</v>
      </c>
      <c r="BE157" s="50">
        <f t="shared" si="254"/>
        <v>0</v>
      </c>
      <c r="BG157" s="139">
        <v>0</v>
      </c>
      <c r="BH157" s="139">
        <v>0</v>
      </c>
      <c r="BI157" s="139">
        <v>0</v>
      </c>
      <c r="BJ157" s="139">
        <v>0</v>
      </c>
      <c r="BK157" s="139">
        <v>0</v>
      </c>
      <c r="BL157" s="139">
        <v>0</v>
      </c>
      <c r="BM157" s="139">
        <v>0</v>
      </c>
      <c r="BN157" s="139">
        <v>0</v>
      </c>
      <c r="BO157" s="139">
        <v>0</v>
      </c>
      <c r="BP157" s="139">
        <v>0</v>
      </c>
      <c r="BQ157" s="139">
        <v>0</v>
      </c>
      <c r="BR157" s="139">
        <v>0</v>
      </c>
      <c r="BS157" s="206">
        <v>0</v>
      </c>
      <c r="BT157" s="205">
        <f t="shared" si="219"/>
        <v>0</v>
      </c>
      <c r="BU157" s="153">
        <f t="shared" si="216"/>
        <v>0</v>
      </c>
    </row>
    <row r="158" spans="1:73" ht="25.8" thickBot="1" x14ac:dyDescent="0.65">
      <c r="A158" s="53">
        <v>150</v>
      </c>
      <c r="B158" s="99" t="s">
        <v>471</v>
      </c>
      <c r="C158" s="100" t="s">
        <v>354</v>
      </c>
      <c r="D158" s="108">
        <v>45453</v>
      </c>
      <c r="E158" s="109">
        <v>0</v>
      </c>
      <c r="F158" s="101">
        <f t="shared" si="191"/>
        <v>0</v>
      </c>
      <c r="G158" s="101">
        <f t="shared" si="192"/>
        <v>240</v>
      </c>
      <c r="H158" s="102">
        <f t="shared" si="193"/>
        <v>240</v>
      </c>
      <c r="I158" s="103">
        <v>15</v>
      </c>
      <c r="J158" s="81">
        <v>15</v>
      </c>
      <c r="L158" s="115">
        <v>46183</v>
      </c>
      <c r="M158" s="97"/>
      <c r="N158" s="98" t="str">
        <f t="shared" ca="1" si="221"/>
        <v>O.K.</v>
      </c>
      <c r="Z158" s="3" t="s">
        <v>471</v>
      </c>
      <c r="AA158" s="37"/>
      <c r="AB158" s="34"/>
      <c r="AC158" s="35"/>
      <c r="AD158" s="35"/>
      <c r="AE158" s="35"/>
      <c r="AF158" s="24"/>
      <c r="AG158" s="21"/>
      <c r="AH158" s="42"/>
      <c r="AI158" s="42"/>
      <c r="AJ158" s="35"/>
      <c r="AK158" s="17"/>
      <c r="AL158" s="42"/>
      <c r="AM158" s="42"/>
      <c r="AN158" s="35"/>
      <c r="AO158" s="24"/>
      <c r="AP158" s="42"/>
      <c r="AQ158" s="42"/>
      <c r="AR158" s="114"/>
      <c r="AS158" s="94"/>
      <c r="AT158" s="60"/>
      <c r="AU158" s="60"/>
      <c r="AV158" s="94"/>
      <c r="AW158" s="94"/>
      <c r="AX158" s="140"/>
      <c r="AY158" s="140"/>
      <c r="AZ158" s="140"/>
      <c r="BA158" s="140"/>
      <c r="BB158" s="135">
        <f>+(0)+(96)+(0)+(54)</f>
        <v>150</v>
      </c>
      <c r="BC158" s="135">
        <f>+(108)+(0)+(78)+(0)+(0)+(78)+(54.6)+(0)</f>
        <v>318.60000000000002</v>
      </c>
      <c r="BD158" s="50">
        <v>120</v>
      </c>
      <c r="BE158" s="50">
        <f t="shared" si="254"/>
        <v>348.6</v>
      </c>
      <c r="BG158" s="139">
        <v>0</v>
      </c>
      <c r="BH158" s="139">
        <v>0</v>
      </c>
      <c r="BI158" s="139">
        <v>0</v>
      </c>
      <c r="BJ158" s="139">
        <v>0</v>
      </c>
      <c r="BK158" s="139">
        <v>0</v>
      </c>
      <c r="BL158" s="139">
        <v>0</v>
      </c>
      <c r="BM158" s="139">
        <v>0</v>
      </c>
      <c r="BN158" s="139">
        <v>0</v>
      </c>
      <c r="BO158" s="139">
        <v>0</v>
      </c>
      <c r="BP158" s="139">
        <v>0</v>
      </c>
      <c r="BQ158" s="139">
        <v>0</v>
      </c>
      <c r="BR158" s="139">
        <v>0</v>
      </c>
      <c r="BS158" s="206">
        <v>120</v>
      </c>
      <c r="BT158" s="205">
        <f t="shared" si="219"/>
        <v>228.60000000000002</v>
      </c>
      <c r="BU158" s="153">
        <f t="shared" si="216"/>
        <v>240</v>
      </c>
    </row>
    <row r="159" spans="1:73" ht="25.8" thickBot="1" x14ac:dyDescent="0.65">
      <c r="A159" s="53">
        <v>151</v>
      </c>
      <c r="B159" s="143" t="s">
        <v>69</v>
      </c>
      <c r="C159" s="144" t="s">
        <v>165</v>
      </c>
      <c r="D159" s="143" t="s">
        <v>101</v>
      </c>
      <c r="E159" s="146">
        <v>8</v>
      </c>
      <c r="F159" s="146">
        <f t="shared" si="191"/>
        <v>4266.6400000000003</v>
      </c>
      <c r="G159" s="146">
        <f t="shared" si="192"/>
        <v>2508</v>
      </c>
      <c r="H159" s="147">
        <f t="shared" si="193"/>
        <v>6774.64</v>
      </c>
      <c r="I159" s="148">
        <v>7</v>
      </c>
      <c r="J159" s="81">
        <v>7</v>
      </c>
      <c r="K159" s="208" t="s">
        <v>309</v>
      </c>
      <c r="L159" s="149">
        <v>46388</v>
      </c>
      <c r="M159" s="150"/>
      <c r="N159" s="151" t="str">
        <f t="shared" ca="1" si="221"/>
        <v>O.K.</v>
      </c>
      <c r="Z159" s="3" t="s">
        <v>69</v>
      </c>
      <c r="AA159" s="34">
        <v>900</v>
      </c>
      <c r="AB159" s="34">
        <v>150</v>
      </c>
      <c r="AC159" s="35">
        <v>150</v>
      </c>
      <c r="AD159" s="35">
        <v>108</v>
      </c>
      <c r="AE159" s="35">
        <v>150</v>
      </c>
      <c r="AF159" s="24">
        <v>365.5</v>
      </c>
      <c r="AG159" s="21">
        <f t="shared" si="186"/>
        <v>215.5</v>
      </c>
      <c r="AH159" s="42">
        <v>78</v>
      </c>
      <c r="AI159" s="42">
        <f>+(0)+(0)+(0)+(0)+(0)+(54)</f>
        <v>54</v>
      </c>
      <c r="AJ159" s="35">
        <v>150</v>
      </c>
      <c r="AK159" s="17">
        <f t="shared" si="183"/>
        <v>197.5</v>
      </c>
      <c r="AL159" s="42">
        <f>+(0)+(0)+(0)+(0)+(0)+(54.6)</f>
        <v>54.6</v>
      </c>
      <c r="AM159" s="42">
        <f>+(78)+(156)+(0)+(0)+(0)+(0)</f>
        <v>234</v>
      </c>
      <c r="AN159" s="35">
        <v>150</v>
      </c>
      <c r="AO159" s="24">
        <f t="shared" si="171"/>
        <v>336.1</v>
      </c>
      <c r="AP159" s="42">
        <f>+(0)+(78)+(0)+(0)+(0)+(0)</f>
        <v>78</v>
      </c>
      <c r="AQ159" s="42">
        <f t="shared" si="184"/>
        <v>0</v>
      </c>
      <c r="AR159" s="68">
        <v>150</v>
      </c>
      <c r="AS159" s="71">
        <f t="shared" si="146"/>
        <v>264.10000000000002</v>
      </c>
      <c r="AT159" s="60">
        <f>+(0)+(120)+(0)+(0)+(0)+(0)</f>
        <v>120</v>
      </c>
      <c r="AU159" s="60">
        <f t="shared" si="185"/>
        <v>0</v>
      </c>
      <c r="AV159" s="94">
        <v>150</v>
      </c>
      <c r="AW159" s="71">
        <f t="shared" si="147"/>
        <v>234.10000000000002</v>
      </c>
      <c r="AX159" s="60">
        <f>+(0)+(0)+(120)+(0)</f>
        <v>120</v>
      </c>
      <c r="AY159" s="113">
        <f>+(0)+(0)+(0)+(78)+(0)+(0)+(0)+(21)</f>
        <v>99</v>
      </c>
      <c r="AZ159" s="71">
        <v>150</v>
      </c>
      <c r="BA159" s="71">
        <f t="shared" si="253"/>
        <v>303.10000000000002</v>
      </c>
      <c r="BB159" s="135">
        <f>+(0)+(0)+(0)+(96)</f>
        <v>96</v>
      </c>
      <c r="BC159" s="135">
        <f>+(78)+(60)+(96)+(0)+(0)+(0)+(96)+(0)</f>
        <v>330</v>
      </c>
      <c r="BD159" s="50">
        <v>150</v>
      </c>
      <c r="BE159" s="50">
        <f t="shared" si="254"/>
        <v>579.1</v>
      </c>
      <c r="BG159" s="139">
        <v>0</v>
      </c>
      <c r="BH159" s="139">
        <v>0</v>
      </c>
      <c r="BI159" s="139">
        <v>0</v>
      </c>
      <c r="BJ159" s="139">
        <v>0</v>
      </c>
      <c r="BK159" s="139">
        <v>0</v>
      </c>
      <c r="BL159" s="139">
        <v>0</v>
      </c>
      <c r="BM159" s="139">
        <v>0</v>
      </c>
      <c r="BN159" s="139">
        <v>0</v>
      </c>
      <c r="BO159" s="139">
        <v>0</v>
      </c>
      <c r="BP159" s="139">
        <v>0</v>
      </c>
      <c r="BQ159" s="139">
        <v>0</v>
      </c>
      <c r="BR159" s="139">
        <v>0</v>
      </c>
      <c r="BS159" s="206">
        <v>150</v>
      </c>
      <c r="BT159" s="205">
        <f t="shared" si="219"/>
        <v>429.1</v>
      </c>
      <c r="BU159" s="153">
        <f t="shared" si="216"/>
        <v>2508</v>
      </c>
    </row>
    <row r="160" spans="1:73" ht="25.8" thickBot="1" x14ac:dyDescent="0.65">
      <c r="A160" s="53">
        <v>152</v>
      </c>
      <c r="B160" s="143" t="s">
        <v>491</v>
      </c>
      <c r="C160" s="144" t="s">
        <v>166</v>
      </c>
      <c r="D160" s="145">
        <v>45728</v>
      </c>
      <c r="E160" s="146">
        <v>0</v>
      </c>
      <c r="F160" s="146">
        <f t="shared" ref="F160" si="258">+E160*$C$1</f>
        <v>0</v>
      </c>
      <c r="G160" s="146">
        <f t="shared" ref="G160" si="259">+BU160</f>
        <v>216</v>
      </c>
      <c r="H160" s="147">
        <f t="shared" ref="H160" si="260">+F160+G160</f>
        <v>216</v>
      </c>
      <c r="I160" s="148">
        <v>15</v>
      </c>
      <c r="J160" s="81">
        <v>15</v>
      </c>
      <c r="L160" s="149">
        <v>46458</v>
      </c>
      <c r="M160" s="150"/>
      <c r="N160" s="151" t="str">
        <f t="shared" ca="1" si="221"/>
        <v>O.K.</v>
      </c>
      <c r="Z160" s="3" t="s">
        <v>491</v>
      </c>
      <c r="AA160" s="34"/>
      <c r="AB160" s="34"/>
      <c r="AC160" s="35"/>
      <c r="AD160" s="35"/>
      <c r="AE160" s="35"/>
      <c r="AF160" s="24"/>
      <c r="AG160" s="21"/>
      <c r="AH160" s="42"/>
      <c r="AI160" s="42"/>
      <c r="AJ160" s="35"/>
      <c r="AK160" s="17"/>
      <c r="AL160" s="42"/>
      <c r="AM160" s="42"/>
      <c r="AN160" s="35"/>
      <c r="AO160" s="24"/>
      <c r="AP160" s="42"/>
      <c r="AQ160" s="42"/>
      <c r="AR160" s="68"/>
      <c r="AS160" s="71"/>
      <c r="AT160" s="60"/>
      <c r="AU160" s="60"/>
      <c r="AV160" s="94"/>
      <c r="AW160" s="71"/>
      <c r="AX160" s="60"/>
      <c r="AY160" s="113"/>
      <c r="AZ160" s="71"/>
      <c r="BA160" s="71"/>
      <c r="BB160" s="135">
        <f>+(0)+(0)+(0)+(0)</f>
        <v>0</v>
      </c>
      <c r="BC160" s="135">
        <f>+(0)+(0)+(0)+(0)+(0)+(0)+(0)+(108)</f>
        <v>108</v>
      </c>
      <c r="BD160" s="50">
        <v>108</v>
      </c>
      <c r="BE160" s="50">
        <f t="shared" ref="BE160" si="261">(BA160+BB160+BC160)-BD160</f>
        <v>0</v>
      </c>
      <c r="BG160" s="207">
        <v>108</v>
      </c>
      <c r="BH160" s="139">
        <v>0</v>
      </c>
      <c r="BI160" s="139">
        <v>0</v>
      </c>
      <c r="BJ160" s="139">
        <v>0</v>
      </c>
      <c r="BK160" s="139">
        <v>0</v>
      </c>
      <c r="BL160" s="139">
        <v>0</v>
      </c>
      <c r="BM160" s="139">
        <v>0</v>
      </c>
      <c r="BN160" s="139">
        <v>0</v>
      </c>
      <c r="BO160" s="139">
        <v>0</v>
      </c>
      <c r="BP160" s="139">
        <v>0</v>
      </c>
      <c r="BQ160" s="139">
        <v>0</v>
      </c>
      <c r="BR160" s="139">
        <v>0</v>
      </c>
      <c r="BS160" s="206">
        <v>108</v>
      </c>
      <c r="BT160" s="205">
        <f t="shared" si="219"/>
        <v>0</v>
      </c>
      <c r="BU160" s="153">
        <f t="shared" si="216"/>
        <v>216</v>
      </c>
    </row>
    <row r="161" spans="1:73" ht="25.8" thickBot="1" x14ac:dyDescent="0.65">
      <c r="A161" s="53">
        <v>153</v>
      </c>
      <c r="B161" s="99" t="s">
        <v>260</v>
      </c>
      <c r="C161" s="100" t="s">
        <v>165</v>
      </c>
      <c r="D161" s="108">
        <v>43214</v>
      </c>
      <c r="E161" s="109">
        <v>3</v>
      </c>
      <c r="F161" s="101">
        <f t="shared" si="191"/>
        <v>1599.9900000000002</v>
      </c>
      <c r="G161" s="101">
        <f>+'BIENIOS EDUARDO FREI M.'!BU161</f>
        <v>1332.6</v>
      </c>
      <c r="H161" s="102">
        <f>+F161+G161</f>
        <v>2932.59</v>
      </c>
      <c r="I161" s="103">
        <v>12</v>
      </c>
      <c r="J161" s="81">
        <v>12</v>
      </c>
      <c r="L161" s="115">
        <v>46136</v>
      </c>
      <c r="M161" s="97"/>
      <c r="N161" s="98" t="str">
        <f t="shared" ca="1" si="221"/>
        <v>O.K.</v>
      </c>
      <c r="Z161" s="3" t="s">
        <v>260</v>
      </c>
      <c r="AA161" s="37">
        <v>0</v>
      </c>
      <c r="AB161" s="34">
        <v>0</v>
      </c>
      <c r="AC161" s="35">
        <v>0</v>
      </c>
      <c r="AD161" s="35">
        <v>132.6</v>
      </c>
      <c r="AE161" s="35">
        <v>150</v>
      </c>
      <c r="AF161" s="24">
        <v>285.60000000000002</v>
      </c>
      <c r="AG161" s="21">
        <f t="shared" si="186"/>
        <v>135.60000000000002</v>
      </c>
      <c r="AH161" s="42">
        <f>132+37.8</f>
        <v>169.8</v>
      </c>
      <c r="AI161" s="42">
        <f>+(0)+(0)+(0)+(0)+(54)+(162)</f>
        <v>216</v>
      </c>
      <c r="AJ161" s="35">
        <v>150</v>
      </c>
      <c r="AK161" s="17">
        <f t="shared" si="183"/>
        <v>371.40000000000009</v>
      </c>
      <c r="AL161" s="42">
        <f t="shared" si="201"/>
        <v>0</v>
      </c>
      <c r="AM161" s="42">
        <f t="shared" si="201"/>
        <v>0</v>
      </c>
      <c r="AN161" s="35">
        <v>150</v>
      </c>
      <c r="AO161" s="24">
        <f t="shared" si="171"/>
        <v>221.40000000000009</v>
      </c>
      <c r="AP161" s="42">
        <f>+(0)+(0)+(0)+(54.6)+(30)+(0)</f>
        <v>84.6</v>
      </c>
      <c r="AQ161" s="42">
        <f>+(0)+(0)+(198)+(0)+(0)+(0)</f>
        <v>198</v>
      </c>
      <c r="AR161" s="68">
        <v>150</v>
      </c>
      <c r="AS161" s="71">
        <f t="shared" si="146"/>
        <v>354.00000000000011</v>
      </c>
      <c r="AT161" s="60">
        <f t="shared" si="185"/>
        <v>0</v>
      </c>
      <c r="AU161" s="60">
        <f>+(0)+(474)+(0)+(0)+(0)+(0)</f>
        <v>474</v>
      </c>
      <c r="AV161" s="94">
        <v>150</v>
      </c>
      <c r="AW161" s="71">
        <f t="shared" si="147"/>
        <v>678.00000000000011</v>
      </c>
      <c r="AX161" s="60">
        <f>+(0)+(0)+(96)+(228)</f>
        <v>324</v>
      </c>
      <c r="AY161" s="113">
        <f>+(120)+(0)+(96)+(0)+(0)+(0)+(0)+(21)</f>
        <v>237</v>
      </c>
      <c r="AZ161" s="71">
        <v>150</v>
      </c>
      <c r="BA161" s="71">
        <f t="shared" si="253"/>
        <v>1089</v>
      </c>
      <c r="BB161" s="135">
        <f>+(0)+(30)+(0)+(0)</f>
        <v>30</v>
      </c>
      <c r="BC161" s="135">
        <f>+(0)+(0)+(252)+(0)+(0)+(0)+(0)+(0)</f>
        <v>252</v>
      </c>
      <c r="BD161" s="50">
        <v>150</v>
      </c>
      <c r="BE161" s="50">
        <f t="shared" si="254"/>
        <v>1221</v>
      </c>
      <c r="BG161" s="139">
        <v>0</v>
      </c>
      <c r="BH161" s="139">
        <v>0</v>
      </c>
      <c r="BI161" s="139">
        <v>0</v>
      </c>
      <c r="BJ161" s="139">
        <v>0</v>
      </c>
      <c r="BK161" s="139">
        <v>0</v>
      </c>
      <c r="BL161" s="139">
        <v>0</v>
      </c>
      <c r="BM161" s="139">
        <v>0</v>
      </c>
      <c r="BN161" s="139">
        <v>0</v>
      </c>
      <c r="BO161" s="139">
        <v>0</v>
      </c>
      <c r="BP161" s="139">
        <v>0</v>
      </c>
      <c r="BQ161" s="139">
        <v>0</v>
      </c>
      <c r="BR161" s="139">
        <v>0</v>
      </c>
      <c r="BS161" s="206">
        <v>150</v>
      </c>
      <c r="BT161" s="205">
        <f t="shared" si="219"/>
        <v>1071</v>
      </c>
      <c r="BU161" s="153">
        <f t="shared" si="216"/>
        <v>1332.6</v>
      </c>
    </row>
    <row r="162" spans="1:73" ht="25.8" thickBot="1" x14ac:dyDescent="0.65">
      <c r="A162" s="53">
        <v>154</v>
      </c>
      <c r="B162" s="143" t="s">
        <v>436</v>
      </c>
      <c r="C162" s="144" t="s">
        <v>165</v>
      </c>
      <c r="D162" s="145">
        <v>45369</v>
      </c>
      <c r="E162" s="183">
        <v>8</v>
      </c>
      <c r="F162" s="146">
        <f t="shared" ref="F162" si="262">+E162*$C$1</f>
        <v>4266.6400000000003</v>
      </c>
      <c r="G162" s="146">
        <f>+'BIENIOS EDUARDO FREI M.'!BU162</f>
        <v>1819.8</v>
      </c>
      <c r="H162" s="147">
        <f>+F162+G162</f>
        <v>6086.4400000000005</v>
      </c>
      <c r="I162" s="148">
        <v>8</v>
      </c>
      <c r="J162" s="81">
        <v>8</v>
      </c>
      <c r="L162" s="165">
        <v>46527</v>
      </c>
      <c r="M162" s="150"/>
      <c r="N162" s="151" t="str">
        <f t="shared" ca="1" si="221"/>
        <v>O.K.</v>
      </c>
      <c r="Z162" s="3" t="s">
        <v>436</v>
      </c>
      <c r="AA162" s="63">
        <v>1555.8</v>
      </c>
      <c r="AB162" s="34">
        <v>0</v>
      </c>
      <c r="AC162" s="35">
        <v>0</v>
      </c>
      <c r="AD162" s="35">
        <v>0</v>
      </c>
      <c r="AE162" s="35">
        <v>0</v>
      </c>
      <c r="AF162" s="24">
        <v>0</v>
      </c>
      <c r="AG162" s="21">
        <f t="shared" si="186"/>
        <v>0</v>
      </c>
      <c r="AH162" s="42">
        <v>0</v>
      </c>
      <c r="AI162" s="42">
        <v>0</v>
      </c>
      <c r="AJ162" s="35">
        <v>0</v>
      </c>
      <c r="AK162" s="17">
        <f t="shared" si="183"/>
        <v>0</v>
      </c>
      <c r="AL162" s="42">
        <v>0</v>
      </c>
      <c r="AM162" s="42">
        <v>0</v>
      </c>
      <c r="AN162" s="35">
        <v>0</v>
      </c>
      <c r="AO162" s="24">
        <f t="shared" si="171"/>
        <v>0</v>
      </c>
      <c r="AP162" s="42">
        <v>0</v>
      </c>
      <c r="AQ162" s="42">
        <v>0</v>
      </c>
      <c r="AR162" s="68">
        <v>0</v>
      </c>
      <c r="AS162" s="71">
        <f t="shared" si="146"/>
        <v>0</v>
      </c>
      <c r="AT162" s="60">
        <v>0</v>
      </c>
      <c r="AU162" s="60">
        <v>0</v>
      </c>
      <c r="AV162" s="94">
        <v>0</v>
      </c>
      <c r="AW162" s="71">
        <f t="shared" si="147"/>
        <v>0</v>
      </c>
      <c r="AX162" s="60">
        <f t="shared" si="255"/>
        <v>0</v>
      </c>
      <c r="AY162" s="113">
        <f>+(0)+(0)+(0)+(0)+(0)+(0)+(0)+(30)</f>
        <v>30</v>
      </c>
      <c r="AZ162" s="71">
        <v>30</v>
      </c>
      <c r="BA162" s="71">
        <f t="shared" ref="BA162" si="263">(+AW162+AX162+AY162)-AZ162</f>
        <v>0</v>
      </c>
      <c r="BB162" s="135">
        <f t="shared" si="220"/>
        <v>0</v>
      </c>
      <c r="BC162" s="135">
        <f>+(0)+(78)+(156)+(0)+(0)+(0)+(0)+(0)</f>
        <v>234</v>
      </c>
      <c r="BD162" s="50">
        <v>150</v>
      </c>
      <c r="BE162" s="50">
        <f t="shared" si="254"/>
        <v>84</v>
      </c>
      <c r="BG162" s="139">
        <v>0</v>
      </c>
      <c r="BH162" s="139">
        <v>0</v>
      </c>
      <c r="BI162" s="139">
        <v>0</v>
      </c>
      <c r="BJ162" s="139">
        <v>0</v>
      </c>
      <c r="BK162" s="139">
        <v>0</v>
      </c>
      <c r="BL162" s="139">
        <v>0</v>
      </c>
      <c r="BM162" s="139">
        <v>0</v>
      </c>
      <c r="BN162" s="139">
        <v>0</v>
      </c>
      <c r="BO162" s="139">
        <v>0</v>
      </c>
      <c r="BP162" s="139">
        <v>0</v>
      </c>
      <c r="BQ162" s="139">
        <v>0</v>
      </c>
      <c r="BR162" s="139">
        <v>0</v>
      </c>
      <c r="BS162" s="206">
        <v>84</v>
      </c>
      <c r="BT162" s="205">
        <f t="shared" si="219"/>
        <v>0</v>
      </c>
      <c r="BU162" s="153">
        <f t="shared" si="216"/>
        <v>1819.8</v>
      </c>
    </row>
    <row r="163" spans="1:73" ht="25.8" thickBot="1" x14ac:dyDescent="0.65">
      <c r="A163" s="53">
        <v>155</v>
      </c>
      <c r="B163" s="143" t="s">
        <v>188</v>
      </c>
      <c r="C163" s="144" t="s">
        <v>165</v>
      </c>
      <c r="D163" s="145">
        <v>42236</v>
      </c>
      <c r="E163" s="146">
        <v>5</v>
      </c>
      <c r="F163" s="146">
        <f t="shared" si="191"/>
        <v>2666.65</v>
      </c>
      <c r="G163" s="146">
        <f t="shared" si="192"/>
        <v>1567.8</v>
      </c>
      <c r="H163" s="147">
        <f t="shared" si="193"/>
        <v>4234.45</v>
      </c>
      <c r="I163" s="148">
        <v>10</v>
      </c>
      <c r="J163" s="81">
        <v>10</v>
      </c>
      <c r="K163" s="208" t="s">
        <v>309</v>
      </c>
      <c r="L163" s="149">
        <v>46618</v>
      </c>
      <c r="M163" s="150"/>
      <c r="N163" s="151" t="str">
        <f t="shared" ref="N163:N187" ca="1" si="264">IF($B$2&lt;L163,"O.K.","A L E R T A ")</f>
        <v>O.K.</v>
      </c>
      <c r="Z163" s="3" t="s">
        <v>188</v>
      </c>
      <c r="AA163" s="34">
        <v>0</v>
      </c>
      <c r="AB163" s="34">
        <v>150</v>
      </c>
      <c r="AC163" s="35">
        <v>150</v>
      </c>
      <c r="AD163" s="35">
        <v>150</v>
      </c>
      <c r="AE163" s="35">
        <v>150</v>
      </c>
      <c r="AF163" s="24">
        <v>342</v>
      </c>
      <c r="AG163" s="21">
        <f t="shared" si="186"/>
        <v>192</v>
      </c>
      <c r="AH163" s="42">
        <v>54.6</v>
      </c>
      <c r="AI163" s="42">
        <f>+(0)+(0)+(0)+(0)+(0)+(54)</f>
        <v>54</v>
      </c>
      <c r="AJ163" s="35">
        <v>150</v>
      </c>
      <c r="AK163" s="17">
        <f t="shared" si="183"/>
        <v>150.60000000000002</v>
      </c>
      <c r="AL163" s="42">
        <f t="shared" si="201"/>
        <v>0</v>
      </c>
      <c r="AM163" s="42">
        <f t="shared" si="201"/>
        <v>0</v>
      </c>
      <c r="AN163" s="35">
        <v>150</v>
      </c>
      <c r="AO163" s="24">
        <f t="shared" si="171"/>
        <v>0.60000000000002274</v>
      </c>
      <c r="AP163" s="42">
        <f t="shared" si="184"/>
        <v>0</v>
      </c>
      <c r="AQ163" s="42">
        <f>+(0)+(0)+(0)+(0)+(0)+(67.2)</f>
        <v>67.2</v>
      </c>
      <c r="AR163" s="68">
        <v>67.8</v>
      </c>
      <c r="AS163" s="71">
        <v>0</v>
      </c>
      <c r="AT163" s="60">
        <f>+(0)+(186)+(0)+(78)+(54)+(30)</f>
        <v>348</v>
      </c>
      <c r="AU163" s="60">
        <f>+(120)+(0)+(0)+(0)+(0)+(0)</f>
        <v>120</v>
      </c>
      <c r="AV163" s="94">
        <v>150</v>
      </c>
      <c r="AW163" s="71">
        <f t="shared" si="147"/>
        <v>318</v>
      </c>
      <c r="AX163" s="60">
        <f>+(30)+(0)+(0)+(96)</f>
        <v>126</v>
      </c>
      <c r="AY163" s="113">
        <f>+(108)+(0)+(96)+(0)+(0)+(0)+(0)+(0)</f>
        <v>204</v>
      </c>
      <c r="AZ163" s="72">
        <v>150</v>
      </c>
      <c r="BA163" s="72">
        <f>(+AW163+AX163+AY163)-AZ163</f>
        <v>498</v>
      </c>
      <c r="BB163" s="135">
        <f t="shared" si="220"/>
        <v>0</v>
      </c>
      <c r="BC163" s="135">
        <f>+(0)+(0)+(67.2)+(0)+(0)+(0)+(0)+(0)</f>
        <v>67.2</v>
      </c>
      <c r="BD163" s="50">
        <v>150</v>
      </c>
      <c r="BE163" s="50">
        <f t="shared" si="254"/>
        <v>415.20000000000005</v>
      </c>
      <c r="BG163" s="139">
        <v>0</v>
      </c>
      <c r="BH163" s="207">
        <v>54</v>
      </c>
      <c r="BI163" s="139">
        <v>0</v>
      </c>
      <c r="BJ163" s="139">
        <v>0</v>
      </c>
      <c r="BK163" s="139">
        <v>0</v>
      </c>
      <c r="BL163" s="139">
        <v>0</v>
      </c>
      <c r="BM163" s="139">
        <v>0</v>
      </c>
      <c r="BN163" s="139">
        <v>0</v>
      </c>
      <c r="BO163" s="139">
        <v>0</v>
      </c>
      <c r="BP163" s="139">
        <v>0</v>
      </c>
      <c r="BQ163" s="139">
        <v>0</v>
      </c>
      <c r="BR163" s="139">
        <v>0</v>
      </c>
      <c r="BS163" s="206">
        <v>150</v>
      </c>
      <c r="BT163" s="205">
        <f t="shared" si="219"/>
        <v>319.20000000000005</v>
      </c>
      <c r="BU163" s="153">
        <f t="shared" si="216"/>
        <v>1567.8</v>
      </c>
    </row>
    <row r="164" spans="1:73" ht="25.8" thickBot="1" x14ac:dyDescent="0.65">
      <c r="A164" s="53">
        <v>156</v>
      </c>
      <c r="B164" s="143" t="s">
        <v>503</v>
      </c>
      <c r="C164" s="144" t="s">
        <v>165</v>
      </c>
      <c r="D164" s="145">
        <v>43739</v>
      </c>
      <c r="E164" s="183">
        <v>3</v>
      </c>
      <c r="F164" s="146">
        <f t="shared" si="191"/>
        <v>1599.9900000000002</v>
      </c>
      <c r="G164" s="146">
        <f t="shared" si="192"/>
        <v>1032.5999999999999</v>
      </c>
      <c r="H164" s="147">
        <f t="shared" si="193"/>
        <v>2632.59</v>
      </c>
      <c r="I164" s="148">
        <v>12</v>
      </c>
      <c r="J164" s="81">
        <v>12</v>
      </c>
      <c r="K164" s="208" t="s">
        <v>309</v>
      </c>
      <c r="L164" s="197">
        <v>46661</v>
      </c>
      <c r="M164" s="190"/>
      <c r="N164" s="151" t="str">
        <f t="shared" ca="1" si="264"/>
        <v>O.K.</v>
      </c>
      <c r="Z164" s="3" t="s">
        <v>503</v>
      </c>
      <c r="AA164" s="37">
        <v>0</v>
      </c>
      <c r="AB164" s="34">
        <v>0</v>
      </c>
      <c r="AC164" s="35">
        <v>0</v>
      </c>
      <c r="AD164" s="35">
        <v>0</v>
      </c>
      <c r="AE164" s="35">
        <v>0</v>
      </c>
      <c r="AF164" s="24">
        <v>0</v>
      </c>
      <c r="AG164" s="21">
        <f t="shared" si="186"/>
        <v>0</v>
      </c>
      <c r="AH164" s="42">
        <v>0</v>
      </c>
      <c r="AI164" s="42">
        <f>+(0)+(0)+(120)+(0)+(0)+(108)</f>
        <v>228</v>
      </c>
      <c r="AJ164" s="35">
        <v>150</v>
      </c>
      <c r="AK164" s="17">
        <f t="shared" si="183"/>
        <v>78</v>
      </c>
      <c r="AL164" s="42">
        <f t="shared" si="201"/>
        <v>0</v>
      </c>
      <c r="AM164" s="42">
        <f>+(54.6)+(0)+(0)+(0)+(0)+(0)</f>
        <v>54.6</v>
      </c>
      <c r="AN164" s="35">
        <v>132.6</v>
      </c>
      <c r="AO164" s="24">
        <f t="shared" si="171"/>
        <v>0</v>
      </c>
      <c r="AP164" s="42">
        <f>+(0)+(0)+(0)+(0)+(0)+(78)</f>
        <v>78</v>
      </c>
      <c r="AQ164" s="42">
        <f>+(0)+(108)+(0)+(0)+(78)+(192)</f>
        <v>378</v>
      </c>
      <c r="AR164" s="114">
        <v>150</v>
      </c>
      <c r="AS164" s="94">
        <f t="shared" ref="AS164" si="265">+AO164+AP164+AQ164-AR164</f>
        <v>306</v>
      </c>
      <c r="AT164" s="60">
        <f>+(0)+(0)+(0)+(0)+(54)+(0)</f>
        <v>54</v>
      </c>
      <c r="AU164" s="60">
        <f t="shared" ref="AU164" si="266">+(0)+(0)+(0)+(0)+(0)+(0)</f>
        <v>0</v>
      </c>
      <c r="AV164" s="94">
        <v>150</v>
      </c>
      <c r="AW164" s="94">
        <f t="shared" si="147"/>
        <v>210</v>
      </c>
      <c r="AX164" s="140">
        <f>+(0)+(0)+(0)+(216)</f>
        <v>216</v>
      </c>
      <c r="AY164" s="140">
        <f>+(0)+(54)+(96)+(0)+(0)+(78)+(0)+(0)</f>
        <v>228</v>
      </c>
      <c r="AZ164" s="140">
        <v>150</v>
      </c>
      <c r="BA164" s="140">
        <f t="shared" ref="BA164" si="267">+AW164+AX164+AY164-AZ164</f>
        <v>504</v>
      </c>
      <c r="BB164" s="135">
        <f t="shared" si="220"/>
        <v>0</v>
      </c>
      <c r="BC164" s="135">
        <f>+(0)+(0)+(0)+(78)+(0)+(0)+(0)+(0)</f>
        <v>78</v>
      </c>
      <c r="BD164" s="50">
        <v>150</v>
      </c>
      <c r="BE164" s="50">
        <f t="shared" si="254"/>
        <v>432</v>
      </c>
      <c r="BG164" s="139">
        <v>0</v>
      </c>
      <c r="BH164" s="139">
        <v>0</v>
      </c>
      <c r="BI164" s="139">
        <v>0</v>
      </c>
      <c r="BJ164" s="139">
        <v>0</v>
      </c>
      <c r="BK164" s="139">
        <v>0</v>
      </c>
      <c r="BL164" s="139">
        <v>0</v>
      </c>
      <c r="BM164" s="139">
        <v>0</v>
      </c>
      <c r="BN164" s="139">
        <v>0</v>
      </c>
      <c r="BO164" s="139">
        <v>0</v>
      </c>
      <c r="BP164" s="139">
        <v>0</v>
      </c>
      <c r="BQ164" s="139">
        <v>0</v>
      </c>
      <c r="BR164" s="139">
        <v>0</v>
      </c>
      <c r="BS164" s="206">
        <v>150</v>
      </c>
      <c r="BT164" s="205">
        <f t="shared" si="219"/>
        <v>282</v>
      </c>
      <c r="BU164" s="153">
        <f t="shared" si="216"/>
        <v>1032.5999999999999</v>
      </c>
    </row>
    <row r="165" spans="1:73" ht="25.8" thickBot="1" x14ac:dyDescent="0.65">
      <c r="A165" s="53">
        <v>157</v>
      </c>
      <c r="B165" s="99" t="s">
        <v>381</v>
      </c>
      <c r="C165" s="100" t="s">
        <v>165</v>
      </c>
      <c r="D165" s="108">
        <v>44754</v>
      </c>
      <c r="E165" s="109">
        <v>1</v>
      </c>
      <c r="F165" s="101">
        <f t="shared" ref="F165" si="268">+E165*$C$1</f>
        <v>533.33000000000004</v>
      </c>
      <c r="G165" s="101">
        <f>+'BIENIOS EDUARDO FREI M.'!BU165</f>
        <v>750</v>
      </c>
      <c r="H165" s="102">
        <f>+F165+G165</f>
        <v>1283.33</v>
      </c>
      <c r="I165" s="103">
        <v>14</v>
      </c>
      <c r="J165" s="81">
        <v>14</v>
      </c>
      <c r="L165" s="119">
        <v>46215</v>
      </c>
      <c r="M165" s="97"/>
      <c r="N165" s="98" t="str">
        <f t="shared" ca="1" si="264"/>
        <v>O.K.</v>
      </c>
      <c r="Z165" s="3" t="s">
        <v>381</v>
      </c>
      <c r="AA165" s="37">
        <v>0</v>
      </c>
      <c r="AB165" s="34">
        <v>0</v>
      </c>
      <c r="AC165" s="35">
        <v>0</v>
      </c>
      <c r="AD165" s="35">
        <v>0</v>
      </c>
      <c r="AE165" s="35">
        <v>0</v>
      </c>
      <c r="AF165" s="24">
        <v>0</v>
      </c>
      <c r="AG165" s="21">
        <f t="shared" si="186"/>
        <v>0</v>
      </c>
      <c r="AH165" s="42">
        <v>0</v>
      </c>
      <c r="AI165" s="42">
        <v>0</v>
      </c>
      <c r="AJ165" s="35">
        <v>0</v>
      </c>
      <c r="AK165" s="17">
        <f t="shared" si="183"/>
        <v>0</v>
      </c>
      <c r="AL165" s="42">
        <v>0</v>
      </c>
      <c r="AM165" s="42">
        <v>0</v>
      </c>
      <c r="AN165" s="35">
        <v>0</v>
      </c>
      <c r="AO165" s="65">
        <f t="shared" si="171"/>
        <v>0</v>
      </c>
      <c r="AP165" s="42">
        <f t="shared" si="184"/>
        <v>0</v>
      </c>
      <c r="AQ165" s="42">
        <f>+(0)+(54)+(156)+(0)+(0)+(192)</f>
        <v>402</v>
      </c>
      <c r="AR165" s="68">
        <v>150</v>
      </c>
      <c r="AS165" s="71">
        <f t="shared" ref="AS165" si="269">+AO165+AP165+AQ165-AR165</f>
        <v>252</v>
      </c>
      <c r="AT165" s="60">
        <f>+(0)+(0)+(0)+(0)+(54)+(0)</f>
        <v>54</v>
      </c>
      <c r="AU165" s="60">
        <f t="shared" si="185"/>
        <v>0</v>
      </c>
      <c r="AV165" s="94">
        <v>150</v>
      </c>
      <c r="AW165" s="71">
        <f t="shared" ref="AW165" si="270">+AS165+AT165+AU165-AV165</f>
        <v>156</v>
      </c>
      <c r="AX165" s="60">
        <f>+(0)+(0)+(0)+(96)</f>
        <v>96</v>
      </c>
      <c r="AY165" s="113">
        <f>+(120)+(0)+(0)+(0)+(0)+(54.6)+(78)+(108)</f>
        <v>360.6</v>
      </c>
      <c r="AZ165" s="71">
        <v>150</v>
      </c>
      <c r="BA165" s="71">
        <f t="shared" ref="BA165:BA169" si="271">(+AW165+AX165+AY165)-AZ165</f>
        <v>462.6</v>
      </c>
      <c r="BB165" s="135">
        <f t="shared" si="220"/>
        <v>0</v>
      </c>
      <c r="BC165" s="135">
        <f>+(0)+(78)+(67.2)+(0)+(0)+(120)+(0)+(0)</f>
        <v>265.2</v>
      </c>
      <c r="BD165" s="50">
        <v>150</v>
      </c>
      <c r="BE165" s="50">
        <f t="shared" si="254"/>
        <v>577.79999999999995</v>
      </c>
      <c r="BG165" s="139">
        <v>0</v>
      </c>
      <c r="BH165" s="139">
        <v>0</v>
      </c>
      <c r="BI165" s="139">
        <v>0</v>
      </c>
      <c r="BJ165" s="139">
        <v>0</v>
      </c>
      <c r="BK165" s="139">
        <v>0</v>
      </c>
      <c r="BL165" s="139">
        <v>0</v>
      </c>
      <c r="BM165" s="139">
        <v>0</v>
      </c>
      <c r="BN165" s="139">
        <v>0</v>
      </c>
      <c r="BO165" s="139">
        <v>0</v>
      </c>
      <c r="BP165" s="139">
        <v>0</v>
      </c>
      <c r="BQ165" s="139">
        <v>0</v>
      </c>
      <c r="BR165" s="139">
        <v>0</v>
      </c>
      <c r="BS165" s="206">
        <v>150</v>
      </c>
      <c r="BT165" s="205">
        <f t="shared" si="219"/>
        <v>427.79999999999995</v>
      </c>
      <c r="BU165" s="153">
        <f t="shared" si="216"/>
        <v>750</v>
      </c>
    </row>
    <row r="166" spans="1:73" ht="25.8" thickBot="1" x14ac:dyDescent="0.65">
      <c r="A166" s="53">
        <v>158</v>
      </c>
      <c r="B166" s="99" t="s">
        <v>213</v>
      </c>
      <c r="C166" s="100" t="s">
        <v>165</v>
      </c>
      <c r="D166" s="108">
        <v>42736</v>
      </c>
      <c r="E166" s="101">
        <v>5</v>
      </c>
      <c r="F166" s="101">
        <f t="shared" si="191"/>
        <v>2666.65</v>
      </c>
      <c r="G166" s="101">
        <f t="shared" si="192"/>
        <v>1446</v>
      </c>
      <c r="H166" s="102">
        <f t="shared" si="193"/>
        <v>4112.6499999999996</v>
      </c>
      <c r="I166" s="103">
        <v>11</v>
      </c>
      <c r="J166" s="81">
        <v>11</v>
      </c>
      <c r="L166" s="96">
        <v>46189</v>
      </c>
      <c r="M166" s="97"/>
      <c r="N166" s="98" t="str">
        <f t="shared" ca="1" si="264"/>
        <v>O.K.</v>
      </c>
      <c r="Z166" s="3" t="s">
        <v>213</v>
      </c>
      <c r="AA166" s="34">
        <v>0</v>
      </c>
      <c r="AB166" s="34">
        <v>0</v>
      </c>
      <c r="AC166" s="35">
        <v>150</v>
      </c>
      <c r="AD166" s="35">
        <v>96</v>
      </c>
      <c r="AE166" s="35">
        <v>150</v>
      </c>
      <c r="AF166" s="24">
        <v>288.60000000000002</v>
      </c>
      <c r="AG166" s="21">
        <f t="shared" si="186"/>
        <v>138.60000000000002</v>
      </c>
      <c r="AH166" s="42">
        <v>0</v>
      </c>
      <c r="AI166" s="42">
        <f>+(0)+(126)+(0)+(0)+(54)+(162)</f>
        <v>342</v>
      </c>
      <c r="AJ166" s="35">
        <v>150</v>
      </c>
      <c r="AK166" s="17">
        <f t="shared" si="183"/>
        <v>330.6</v>
      </c>
      <c r="AL166" s="42">
        <f t="shared" si="201"/>
        <v>0</v>
      </c>
      <c r="AM166" s="42">
        <f>+(78)+(0)+(0)+(0)+(78)+(0)</f>
        <v>156</v>
      </c>
      <c r="AN166" s="35">
        <v>150</v>
      </c>
      <c r="AO166" s="24">
        <f t="shared" si="171"/>
        <v>336.6</v>
      </c>
      <c r="AP166" s="42">
        <f t="shared" si="184"/>
        <v>0</v>
      </c>
      <c r="AQ166" s="42">
        <f>+(0)+(0)+(0)+(0)+(67.2)+(96)</f>
        <v>163.19999999999999</v>
      </c>
      <c r="AR166" s="68">
        <v>150</v>
      </c>
      <c r="AS166" s="71">
        <f t="shared" si="146"/>
        <v>349.8</v>
      </c>
      <c r="AT166" s="60">
        <f>+(0)+(0)+(0)+(0)+(54)+(0)</f>
        <v>54</v>
      </c>
      <c r="AU166" s="60">
        <f>+(0)+(228)+(0)+(0)+(0)+(0)</f>
        <v>228</v>
      </c>
      <c r="AV166" s="94">
        <v>150</v>
      </c>
      <c r="AW166" s="71">
        <f t="shared" si="147"/>
        <v>481.79999999999995</v>
      </c>
      <c r="AX166" s="60">
        <f>+(0)+(0)+(0)+(96)</f>
        <v>96</v>
      </c>
      <c r="AY166" s="113">
        <f>+(120)+(0)+(0)+(0)+(0)+(0)+(0)+(0)</f>
        <v>120</v>
      </c>
      <c r="AZ166" s="72">
        <v>150</v>
      </c>
      <c r="BA166" s="72">
        <f t="shared" si="271"/>
        <v>547.79999999999995</v>
      </c>
      <c r="BB166" s="135">
        <f>+(84.6)+(0)+(0)+(0)</f>
        <v>84.6</v>
      </c>
      <c r="BC166" s="135">
        <f>+(0)+(0)+(96)+(0)+(0)+(120)+(0)+(0)</f>
        <v>216</v>
      </c>
      <c r="BD166" s="50">
        <v>150</v>
      </c>
      <c r="BE166" s="50">
        <f t="shared" si="254"/>
        <v>698.4</v>
      </c>
      <c r="BG166" s="139">
        <v>0</v>
      </c>
      <c r="BH166" s="139">
        <v>0</v>
      </c>
      <c r="BI166" s="139">
        <v>0</v>
      </c>
      <c r="BJ166" s="139">
        <v>0</v>
      </c>
      <c r="BK166" s="139">
        <v>0</v>
      </c>
      <c r="BL166" s="139">
        <v>0</v>
      </c>
      <c r="BM166" s="139">
        <v>0</v>
      </c>
      <c r="BN166" s="139">
        <v>0</v>
      </c>
      <c r="BO166" s="139">
        <v>0</v>
      </c>
      <c r="BP166" s="139">
        <v>0</v>
      </c>
      <c r="BQ166" s="139">
        <v>0</v>
      </c>
      <c r="BR166" s="139">
        <v>0</v>
      </c>
      <c r="BS166" s="206">
        <v>150</v>
      </c>
      <c r="BT166" s="205">
        <f t="shared" si="219"/>
        <v>548.4</v>
      </c>
      <c r="BU166" s="153">
        <f t="shared" si="216"/>
        <v>1446</v>
      </c>
    </row>
    <row r="167" spans="1:73" ht="25.8" thickBot="1" x14ac:dyDescent="0.65">
      <c r="A167" s="53">
        <v>159</v>
      </c>
      <c r="B167" s="143" t="s">
        <v>422</v>
      </c>
      <c r="C167" s="144" t="s">
        <v>164</v>
      </c>
      <c r="D167" s="145">
        <v>45252</v>
      </c>
      <c r="E167" s="146">
        <v>1</v>
      </c>
      <c r="F167" s="146">
        <f t="shared" ref="F167:F168" si="272">+E167*$C$1</f>
        <v>533.33000000000004</v>
      </c>
      <c r="G167" s="146">
        <f t="shared" ref="G167:G168" si="273">+BU167</f>
        <v>360</v>
      </c>
      <c r="H167" s="147">
        <f t="shared" ref="H167:H168" si="274">+F167+G167</f>
        <v>893.33</v>
      </c>
      <c r="I167" s="148">
        <v>14</v>
      </c>
      <c r="J167" s="81">
        <v>14</v>
      </c>
      <c r="L167" s="149">
        <v>46713</v>
      </c>
      <c r="M167" s="150"/>
      <c r="N167" s="151" t="str">
        <f t="shared" ca="1" si="264"/>
        <v>O.K.</v>
      </c>
      <c r="Z167" s="3" t="s">
        <v>422</v>
      </c>
      <c r="AA167" s="34">
        <v>0</v>
      </c>
      <c r="AB167" s="34">
        <v>0</v>
      </c>
      <c r="AC167" s="35">
        <v>0</v>
      </c>
      <c r="AD167" s="35">
        <v>0</v>
      </c>
      <c r="AE167" s="35">
        <v>0</v>
      </c>
      <c r="AF167" s="24">
        <v>0</v>
      </c>
      <c r="AG167" s="21">
        <f t="shared" si="186"/>
        <v>0</v>
      </c>
      <c r="AH167" s="42">
        <v>0</v>
      </c>
      <c r="AI167" s="42">
        <v>0</v>
      </c>
      <c r="AJ167" s="35">
        <v>0</v>
      </c>
      <c r="AK167" s="17">
        <f t="shared" si="183"/>
        <v>0</v>
      </c>
      <c r="AL167" s="42">
        <v>0</v>
      </c>
      <c r="AM167" s="42">
        <v>0</v>
      </c>
      <c r="AN167" s="35">
        <v>0</v>
      </c>
      <c r="AO167" s="24">
        <f t="shared" si="171"/>
        <v>0</v>
      </c>
      <c r="AP167" s="42">
        <v>0</v>
      </c>
      <c r="AQ167" s="42">
        <v>0</v>
      </c>
      <c r="AR167" s="68">
        <v>0</v>
      </c>
      <c r="AS167" s="71">
        <f t="shared" si="146"/>
        <v>0</v>
      </c>
      <c r="AT167" s="60">
        <v>0</v>
      </c>
      <c r="AU167" s="60">
        <v>0</v>
      </c>
      <c r="AV167" s="94">
        <v>0</v>
      </c>
      <c r="AW167" s="71">
        <f t="shared" si="147"/>
        <v>0</v>
      </c>
      <c r="AX167" s="60">
        <f t="shared" ref="AX167:AX391" si="275">+(0)+(0)+(0)+(0)</f>
        <v>0</v>
      </c>
      <c r="AY167" s="113">
        <f>+(0)+(0)+(96)+(0)+(0)+(0)+(108)+(0)</f>
        <v>204</v>
      </c>
      <c r="AZ167" s="72">
        <v>120</v>
      </c>
      <c r="BA167" s="72">
        <f t="shared" si="271"/>
        <v>84</v>
      </c>
      <c r="BB167" s="135">
        <f t="shared" si="220"/>
        <v>0</v>
      </c>
      <c r="BC167" s="135">
        <f>+(54.6)+(0)+(0)+(109.2)+(0)+(0)+(0)+(0)</f>
        <v>163.80000000000001</v>
      </c>
      <c r="BD167" s="50">
        <v>120</v>
      </c>
      <c r="BE167" s="50">
        <f t="shared" ref="BE167:BE201" si="276">(BA167+BB167+BC167)-BD167</f>
        <v>127.80000000000001</v>
      </c>
      <c r="BG167" s="139">
        <v>0</v>
      </c>
      <c r="BH167" s="139">
        <v>0</v>
      </c>
      <c r="BI167" s="139">
        <v>0</v>
      </c>
      <c r="BJ167" s="139">
        <v>0</v>
      </c>
      <c r="BK167" s="139">
        <v>0</v>
      </c>
      <c r="BL167" s="139">
        <v>0</v>
      </c>
      <c r="BM167" s="139">
        <v>0</v>
      </c>
      <c r="BN167" s="139">
        <v>0</v>
      </c>
      <c r="BO167" s="139">
        <v>0</v>
      </c>
      <c r="BP167" s="139">
        <v>0</v>
      </c>
      <c r="BQ167" s="139">
        <v>0</v>
      </c>
      <c r="BR167" s="139">
        <v>0</v>
      </c>
      <c r="BS167" s="206">
        <v>120</v>
      </c>
      <c r="BT167" s="205">
        <f t="shared" si="219"/>
        <v>7.8000000000000114</v>
      </c>
      <c r="BU167" s="153">
        <f t="shared" si="216"/>
        <v>360</v>
      </c>
    </row>
    <row r="168" spans="1:73" ht="25.8" thickBot="1" x14ac:dyDescent="0.65">
      <c r="A168" s="53">
        <v>160</v>
      </c>
      <c r="B168" s="143" t="s">
        <v>467</v>
      </c>
      <c r="C168" s="144" t="s">
        <v>165</v>
      </c>
      <c r="D168" s="145">
        <v>44697</v>
      </c>
      <c r="E168" s="146">
        <v>2</v>
      </c>
      <c r="F168" s="146">
        <f t="shared" si="272"/>
        <v>1066.6600000000001</v>
      </c>
      <c r="G168" s="146">
        <f t="shared" si="273"/>
        <v>1086</v>
      </c>
      <c r="H168" s="147">
        <f t="shared" si="274"/>
        <v>2152.66</v>
      </c>
      <c r="I168" s="148">
        <v>13</v>
      </c>
      <c r="J168" s="81">
        <v>13</v>
      </c>
      <c r="L168" s="149">
        <v>46692</v>
      </c>
      <c r="M168" s="150"/>
      <c r="N168" s="151" t="str">
        <f t="shared" ca="1" si="264"/>
        <v>O.K.</v>
      </c>
      <c r="Z168" s="3" t="s">
        <v>467</v>
      </c>
      <c r="AA168" s="70">
        <v>336</v>
      </c>
      <c r="AB168" s="34">
        <v>0</v>
      </c>
      <c r="AC168" s="35">
        <v>0</v>
      </c>
      <c r="AD168" s="35">
        <v>0</v>
      </c>
      <c r="AE168" s="35">
        <v>0</v>
      </c>
      <c r="AF168" s="24">
        <v>0</v>
      </c>
      <c r="AG168" s="21">
        <f t="shared" si="186"/>
        <v>0</v>
      </c>
      <c r="AH168" s="42">
        <v>0</v>
      </c>
      <c r="AI168" s="42">
        <v>0</v>
      </c>
      <c r="AJ168" s="35">
        <v>0</v>
      </c>
      <c r="AK168" s="17">
        <f t="shared" si="183"/>
        <v>0</v>
      </c>
      <c r="AL168" s="42">
        <v>0</v>
      </c>
      <c r="AM168" s="42">
        <v>0</v>
      </c>
      <c r="AN168" s="35">
        <v>0</v>
      </c>
      <c r="AO168" s="24">
        <f t="shared" si="171"/>
        <v>0</v>
      </c>
      <c r="AP168" s="42">
        <f t="shared" ref="AP168" si="277">+(0)+(0)+(0)+(0)+(0)+(0)</f>
        <v>0</v>
      </c>
      <c r="AQ168" s="42">
        <f>+(0)+(174)+(0)+(0)+(108)+(192)</f>
        <v>474</v>
      </c>
      <c r="AR168" s="68">
        <v>150</v>
      </c>
      <c r="AS168" s="71">
        <f t="shared" si="146"/>
        <v>324</v>
      </c>
      <c r="AT168" s="60">
        <f>+(0)+(0)+(0)+(0)+(54)+(0)</f>
        <v>54</v>
      </c>
      <c r="AU168" s="60">
        <f>+(559.2)+(0)+(0)+(0)+(0)+(0)</f>
        <v>559.20000000000005</v>
      </c>
      <c r="AV168" s="94">
        <v>150</v>
      </c>
      <c r="AW168" s="71">
        <f t="shared" si="147"/>
        <v>787.2</v>
      </c>
      <c r="AX168" s="24">
        <f>+(0)+(0)+(183.6)+(150)</f>
        <v>333.6</v>
      </c>
      <c r="AY168" s="24">
        <f>+(0)+(0)+(0)+(0)+(0)+(0)+(78)+(21)</f>
        <v>99</v>
      </c>
      <c r="AZ168" s="50">
        <v>150</v>
      </c>
      <c r="BA168" s="50">
        <f t="shared" ref="BA168" si="278">+AW168+AX168+AY168-AZ168</f>
        <v>1069.8000000000002</v>
      </c>
      <c r="BB168" s="135">
        <f>+(0)+(0)+(0)+(78)</f>
        <v>78</v>
      </c>
      <c r="BC168" s="135">
        <f>+(30)+(0)+(156)+(0)+(0)+(0)+(0)+(0)</f>
        <v>186</v>
      </c>
      <c r="BD168" s="50">
        <v>150</v>
      </c>
      <c r="BE168" s="50">
        <f t="shared" si="276"/>
        <v>1183.8000000000002</v>
      </c>
      <c r="BG168" s="139">
        <v>0</v>
      </c>
      <c r="BH168" s="139">
        <v>0</v>
      </c>
      <c r="BI168" s="139">
        <v>0</v>
      </c>
      <c r="BJ168" s="139">
        <v>0</v>
      </c>
      <c r="BK168" s="139">
        <v>0</v>
      </c>
      <c r="BL168" s="139">
        <v>0</v>
      </c>
      <c r="BM168" s="139">
        <v>0</v>
      </c>
      <c r="BN168" s="139">
        <v>0</v>
      </c>
      <c r="BO168" s="139">
        <v>0</v>
      </c>
      <c r="BP168" s="139">
        <v>0</v>
      </c>
      <c r="BQ168" s="139">
        <v>0</v>
      </c>
      <c r="BR168" s="139">
        <v>0</v>
      </c>
      <c r="BS168" s="206">
        <v>150</v>
      </c>
      <c r="BT168" s="205">
        <f t="shared" si="219"/>
        <v>1033.8000000000002</v>
      </c>
      <c r="BU168" s="153">
        <f t="shared" si="216"/>
        <v>1086</v>
      </c>
    </row>
    <row r="169" spans="1:73" ht="25.8" thickBot="1" x14ac:dyDescent="0.65">
      <c r="A169" s="53">
        <v>161</v>
      </c>
      <c r="B169" s="143" t="s">
        <v>251</v>
      </c>
      <c r="C169" s="144" t="s">
        <v>166</v>
      </c>
      <c r="D169" s="145">
        <v>42998</v>
      </c>
      <c r="E169" s="146">
        <v>4</v>
      </c>
      <c r="F169" s="146">
        <f t="shared" ref="F169:F197" si="279">+E169*$C$1</f>
        <v>2133.3200000000002</v>
      </c>
      <c r="G169" s="146">
        <f t="shared" ref="G169:G195" si="280">+BU169</f>
        <v>1221</v>
      </c>
      <c r="H169" s="147">
        <f t="shared" ref="H169:H195" si="281">+F169+G169</f>
        <v>3354.32</v>
      </c>
      <c r="I169" s="148">
        <v>11</v>
      </c>
      <c r="J169" s="81">
        <v>11</v>
      </c>
      <c r="K169" s="208" t="s">
        <v>309</v>
      </c>
      <c r="L169" s="149">
        <v>46650</v>
      </c>
      <c r="M169" s="150"/>
      <c r="N169" s="151" t="str">
        <f t="shared" ca="1" si="264"/>
        <v>O.K.</v>
      </c>
      <c r="Z169" s="3" t="s">
        <v>251</v>
      </c>
      <c r="AA169" s="34">
        <v>0</v>
      </c>
      <c r="AB169" s="34">
        <v>0</v>
      </c>
      <c r="AC169" s="35">
        <v>0</v>
      </c>
      <c r="AD169" s="35">
        <v>96</v>
      </c>
      <c r="AE169" s="35">
        <v>78</v>
      </c>
      <c r="AF169" s="24">
        <v>78</v>
      </c>
      <c r="AG169" s="21">
        <f t="shared" si="186"/>
        <v>0</v>
      </c>
      <c r="AH169" s="42">
        <f>78+147</f>
        <v>225</v>
      </c>
      <c r="AI169" s="42">
        <f>+(0)+(0)+(0)+(0)+(54.6)+(162)</f>
        <v>216.6</v>
      </c>
      <c r="AJ169" s="35">
        <v>150</v>
      </c>
      <c r="AK169" s="17">
        <f t="shared" si="183"/>
        <v>291.60000000000002</v>
      </c>
      <c r="AL169" s="42">
        <f t="shared" si="201"/>
        <v>0</v>
      </c>
      <c r="AM169" s="42">
        <f>+(0)+(133.8)+(0)+(0)+(0)+(0)</f>
        <v>133.80000000000001</v>
      </c>
      <c r="AN169" s="35">
        <v>150</v>
      </c>
      <c r="AO169" s="24">
        <f t="shared" si="171"/>
        <v>275.40000000000003</v>
      </c>
      <c r="AP169" s="42">
        <f>+(0)+(120)+(0)+(0)+(0)+(0)</f>
        <v>120</v>
      </c>
      <c r="AQ169" s="42">
        <f t="shared" si="184"/>
        <v>0</v>
      </c>
      <c r="AR169" s="68">
        <v>150</v>
      </c>
      <c r="AS169" s="71">
        <f t="shared" ref="AS169:AS213" si="282">+AO169+AP169+AQ169-AR169</f>
        <v>245.40000000000003</v>
      </c>
      <c r="AT169" s="60">
        <f>+(0)+(0)+(0)+(0)+(54)+(48)</f>
        <v>102</v>
      </c>
      <c r="AU169" s="60">
        <f>+(48)+(0)+(0)+(0)+(0)+(0)</f>
        <v>48</v>
      </c>
      <c r="AV169" s="94">
        <v>150</v>
      </c>
      <c r="AW169" s="71">
        <f t="shared" ref="AW169:AW213" si="283">+AS169+AT169+AU169-AV169</f>
        <v>245.40000000000003</v>
      </c>
      <c r="AX169" s="60">
        <f>+(0)+(0)+(30)+(96)</f>
        <v>126</v>
      </c>
      <c r="AY169" s="113">
        <f t="shared" si="252"/>
        <v>0</v>
      </c>
      <c r="AZ169" s="72">
        <v>150</v>
      </c>
      <c r="BA169" s="72">
        <f t="shared" si="271"/>
        <v>221.40000000000003</v>
      </c>
      <c r="BB169" s="135">
        <f t="shared" si="220"/>
        <v>0</v>
      </c>
      <c r="BC169" s="135">
        <f>+(0)+(75.6)+(0)+(0)+(0)+(0)+(0)+(0)</f>
        <v>75.599999999999994</v>
      </c>
      <c r="BD169" s="50">
        <v>150</v>
      </c>
      <c r="BE169" s="50">
        <f t="shared" si="276"/>
        <v>147</v>
      </c>
      <c r="BG169" s="139">
        <v>0</v>
      </c>
      <c r="BH169" s="139">
        <v>0</v>
      </c>
      <c r="BI169" s="139">
        <v>0</v>
      </c>
      <c r="BJ169" s="139">
        <v>0</v>
      </c>
      <c r="BK169" s="139">
        <v>0</v>
      </c>
      <c r="BL169" s="139">
        <v>0</v>
      </c>
      <c r="BM169" s="139">
        <v>0</v>
      </c>
      <c r="BN169" s="139">
        <v>0</v>
      </c>
      <c r="BO169" s="139">
        <v>0</v>
      </c>
      <c r="BP169" s="139">
        <v>0</v>
      </c>
      <c r="BQ169" s="139">
        <v>0</v>
      </c>
      <c r="BR169" s="139">
        <v>0</v>
      </c>
      <c r="BS169" s="206">
        <v>147</v>
      </c>
      <c r="BT169" s="205">
        <f t="shared" si="219"/>
        <v>0</v>
      </c>
      <c r="BU169" s="153">
        <f t="shared" si="216"/>
        <v>1221</v>
      </c>
    </row>
    <row r="170" spans="1:73" ht="25.8" thickBot="1" x14ac:dyDescent="0.65">
      <c r="A170" s="53">
        <v>162</v>
      </c>
      <c r="B170" s="99" t="s">
        <v>285</v>
      </c>
      <c r="C170" s="100" t="s">
        <v>166</v>
      </c>
      <c r="D170" s="108">
        <v>43374</v>
      </c>
      <c r="E170" s="101">
        <v>3</v>
      </c>
      <c r="F170" s="101">
        <f t="shared" si="279"/>
        <v>1599.9900000000002</v>
      </c>
      <c r="G170" s="101">
        <f t="shared" si="280"/>
        <v>1200</v>
      </c>
      <c r="H170" s="102">
        <f t="shared" si="281"/>
        <v>2799.9900000000002</v>
      </c>
      <c r="I170" s="103">
        <v>12</v>
      </c>
      <c r="J170" s="81">
        <v>12</v>
      </c>
      <c r="L170" s="96">
        <v>46296</v>
      </c>
      <c r="M170" s="97"/>
      <c r="N170" s="98" t="str">
        <f t="shared" ca="1" si="264"/>
        <v>O.K.</v>
      </c>
      <c r="Z170" s="3" t="s">
        <v>285</v>
      </c>
      <c r="AA170" s="34">
        <v>0</v>
      </c>
      <c r="AB170" s="34">
        <v>0</v>
      </c>
      <c r="AC170" s="35">
        <v>0</v>
      </c>
      <c r="AD170" s="35">
        <v>0</v>
      </c>
      <c r="AE170" s="35">
        <v>150</v>
      </c>
      <c r="AF170" s="24">
        <v>264</v>
      </c>
      <c r="AG170" s="21">
        <f t="shared" si="186"/>
        <v>114</v>
      </c>
      <c r="AH170" s="42">
        <v>0</v>
      </c>
      <c r="AI170" s="42">
        <f>+(0)+(0)+(228)+(0)+(78)+(162)</f>
        <v>468</v>
      </c>
      <c r="AJ170" s="35">
        <v>150</v>
      </c>
      <c r="AK170" s="17">
        <f t="shared" si="183"/>
        <v>432</v>
      </c>
      <c r="AL170" s="42">
        <f t="shared" si="201"/>
        <v>0</v>
      </c>
      <c r="AM170" s="42">
        <f>+(0)+(0)+(0)+(0)+(38.4)+(38.4)</f>
        <v>76.8</v>
      </c>
      <c r="AN170" s="35">
        <v>150</v>
      </c>
      <c r="AO170" s="24">
        <f t="shared" si="171"/>
        <v>358.8</v>
      </c>
      <c r="AP170" s="42">
        <f>+(0)+(0)+(54)+(0)+(0)+(0)</f>
        <v>54</v>
      </c>
      <c r="AQ170" s="42">
        <f>+(0)+(78)+(67.2)+(0)+(0)+(30)</f>
        <v>175.2</v>
      </c>
      <c r="AR170" s="68">
        <v>150</v>
      </c>
      <c r="AS170" s="71">
        <f t="shared" si="282"/>
        <v>438</v>
      </c>
      <c r="AT170" s="60">
        <f>+(0)+(0)+(0)+(0)+(84)+(0)</f>
        <v>84</v>
      </c>
      <c r="AU170" s="60">
        <f t="shared" si="185"/>
        <v>0</v>
      </c>
      <c r="AV170" s="94">
        <v>150</v>
      </c>
      <c r="AW170" s="71">
        <f t="shared" si="283"/>
        <v>372</v>
      </c>
      <c r="AX170" s="60">
        <f>+(120)+(120)+(0)+(198)</f>
        <v>438</v>
      </c>
      <c r="AY170" s="113">
        <f>+(0)+(0)+(0)+(0)+(54)+(0)+(54)+(0)</f>
        <v>108</v>
      </c>
      <c r="AZ170" s="72">
        <v>150</v>
      </c>
      <c r="BA170" s="72">
        <f>(+AW170+AX170+AY170)-AZ170</f>
        <v>768</v>
      </c>
      <c r="BB170" s="135">
        <f>+(0)+(0)+(0)+(54)</f>
        <v>54</v>
      </c>
      <c r="BC170" s="135">
        <f>+(67.2)+(0)+(0)+(0)+(0)+(108)+(0)+(108)</f>
        <v>283.2</v>
      </c>
      <c r="BD170" s="50">
        <v>150</v>
      </c>
      <c r="BE170" s="50">
        <f t="shared" si="276"/>
        <v>955.2</v>
      </c>
      <c r="BG170" s="139">
        <v>0</v>
      </c>
      <c r="BH170" s="139">
        <v>0</v>
      </c>
      <c r="BI170" s="139">
        <v>0</v>
      </c>
      <c r="BJ170" s="139">
        <v>0</v>
      </c>
      <c r="BK170" s="139">
        <v>0</v>
      </c>
      <c r="BL170" s="139">
        <v>0</v>
      </c>
      <c r="BM170" s="139">
        <v>0</v>
      </c>
      <c r="BN170" s="139">
        <v>0</v>
      </c>
      <c r="BO170" s="139">
        <v>0</v>
      </c>
      <c r="BP170" s="139">
        <v>0</v>
      </c>
      <c r="BQ170" s="139">
        <v>0</v>
      </c>
      <c r="BR170" s="139">
        <v>0</v>
      </c>
      <c r="BS170" s="206">
        <v>150</v>
      </c>
      <c r="BT170" s="205">
        <f t="shared" si="219"/>
        <v>805.2</v>
      </c>
      <c r="BU170" s="153">
        <f t="shared" si="216"/>
        <v>1200</v>
      </c>
    </row>
    <row r="171" spans="1:73" ht="25.8" thickBot="1" x14ac:dyDescent="0.65">
      <c r="A171" s="53">
        <v>163</v>
      </c>
      <c r="B171" s="99" t="s">
        <v>268</v>
      </c>
      <c r="C171" s="100" t="s">
        <v>166</v>
      </c>
      <c r="D171" s="108">
        <v>43369</v>
      </c>
      <c r="E171" s="101">
        <v>3</v>
      </c>
      <c r="F171" s="101">
        <f t="shared" si="279"/>
        <v>1599.9900000000002</v>
      </c>
      <c r="G171" s="101">
        <f t="shared" si="280"/>
        <v>1050</v>
      </c>
      <c r="H171" s="102">
        <f t="shared" si="281"/>
        <v>2649.9900000000002</v>
      </c>
      <c r="I171" s="103">
        <v>12</v>
      </c>
      <c r="J171" s="81">
        <v>12</v>
      </c>
      <c r="K171" s="208" t="s">
        <v>309</v>
      </c>
      <c r="L171" s="96">
        <v>46291</v>
      </c>
      <c r="M171" s="97"/>
      <c r="N171" s="98" t="str">
        <f t="shared" ca="1" si="264"/>
        <v>O.K.</v>
      </c>
      <c r="Z171" s="3" t="s">
        <v>268</v>
      </c>
      <c r="AA171" s="34">
        <v>0</v>
      </c>
      <c r="AB171" s="34">
        <v>0</v>
      </c>
      <c r="AC171" s="35">
        <v>0</v>
      </c>
      <c r="AD171" s="35">
        <v>0</v>
      </c>
      <c r="AE171" s="35">
        <v>0</v>
      </c>
      <c r="AF171" s="24">
        <v>0</v>
      </c>
      <c r="AG171" s="21">
        <f t="shared" si="186"/>
        <v>0</v>
      </c>
      <c r="AH171" s="42">
        <v>78</v>
      </c>
      <c r="AI171" s="42">
        <f>+(0)+(108)+(0)+(130.2)+(0)+(162)</f>
        <v>400.2</v>
      </c>
      <c r="AJ171" s="35">
        <v>150</v>
      </c>
      <c r="AK171" s="17">
        <f t="shared" si="183"/>
        <v>328.2</v>
      </c>
      <c r="AL171" s="42">
        <f t="shared" si="201"/>
        <v>0</v>
      </c>
      <c r="AM171" s="42">
        <f>+(183.6)+(0)+(0)+(0)+(0)+(0)</f>
        <v>183.6</v>
      </c>
      <c r="AN171" s="35">
        <v>150</v>
      </c>
      <c r="AO171" s="24">
        <f t="shared" si="171"/>
        <v>361.79999999999995</v>
      </c>
      <c r="AP171" s="42">
        <f t="shared" si="184"/>
        <v>0</v>
      </c>
      <c r="AQ171" s="42">
        <f t="shared" si="184"/>
        <v>0</v>
      </c>
      <c r="AR171" s="68">
        <v>150</v>
      </c>
      <c r="AS171" s="71">
        <f t="shared" si="282"/>
        <v>211.79999999999995</v>
      </c>
      <c r="AT171" s="60">
        <f>+(220.2)+(0)+(0)+(0)+(54)+(0)</f>
        <v>274.2</v>
      </c>
      <c r="AU171" s="60">
        <f t="shared" si="185"/>
        <v>0</v>
      </c>
      <c r="AV171" s="94">
        <v>150</v>
      </c>
      <c r="AW171" s="71">
        <f t="shared" si="283"/>
        <v>335.99999999999994</v>
      </c>
      <c r="AX171" s="60">
        <f>+(0)+(0)+(30)+(228)</f>
        <v>258</v>
      </c>
      <c r="AY171" s="113">
        <f>+(0)+(0)+(96)+(0)+(0)+(0)+(0)+(0)</f>
        <v>96</v>
      </c>
      <c r="AZ171" s="72">
        <v>150</v>
      </c>
      <c r="BA171" s="72">
        <f t="shared" ref="BA171:BA180" si="284">(+AW171+AX171+AY171)-AZ171</f>
        <v>540</v>
      </c>
      <c r="BB171" s="135">
        <f t="shared" si="220"/>
        <v>0</v>
      </c>
      <c r="BC171" s="135">
        <f>+(21)+(30)+(0)+(0)+(0)+(0)+(0)+(97.2)</f>
        <v>148.19999999999999</v>
      </c>
      <c r="BD171" s="50">
        <v>150</v>
      </c>
      <c r="BE171" s="50">
        <f t="shared" si="276"/>
        <v>538.20000000000005</v>
      </c>
      <c r="BG171" s="207">
        <v>96</v>
      </c>
      <c r="BH171" s="139">
        <v>0</v>
      </c>
      <c r="BI171" s="139">
        <v>0</v>
      </c>
      <c r="BJ171" s="139">
        <v>0</v>
      </c>
      <c r="BK171" s="139">
        <v>0</v>
      </c>
      <c r="BL171" s="139">
        <v>0</v>
      </c>
      <c r="BM171" s="139">
        <v>0</v>
      </c>
      <c r="BN171" s="139">
        <v>0</v>
      </c>
      <c r="BO171" s="139">
        <v>0</v>
      </c>
      <c r="BP171" s="139">
        <v>0</v>
      </c>
      <c r="BQ171" s="139">
        <v>0</v>
      </c>
      <c r="BR171" s="139">
        <v>0</v>
      </c>
      <c r="BS171" s="206">
        <v>150</v>
      </c>
      <c r="BT171" s="205">
        <f t="shared" si="219"/>
        <v>484.20000000000005</v>
      </c>
      <c r="BU171" s="153">
        <f t="shared" si="216"/>
        <v>1050</v>
      </c>
    </row>
    <row r="172" spans="1:73" ht="25.8" thickBot="1" x14ac:dyDescent="0.65">
      <c r="A172" s="53">
        <v>164</v>
      </c>
      <c r="B172" s="176" t="s">
        <v>72</v>
      </c>
      <c r="C172" s="144" t="s">
        <v>166</v>
      </c>
      <c r="D172" s="176" t="s">
        <v>111</v>
      </c>
      <c r="E172" s="146">
        <v>10</v>
      </c>
      <c r="F172" s="146">
        <f t="shared" si="279"/>
        <v>5333.3</v>
      </c>
      <c r="G172" s="146">
        <f t="shared" si="280"/>
        <v>1550.5</v>
      </c>
      <c r="H172" s="147">
        <f t="shared" si="281"/>
        <v>6883.8</v>
      </c>
      <c r="I172" s="148">
        <v>7</v>
      </c>
      <c r="J172" s="81">
        <v>7</v>
      </c>
      <c r="L172" s="149">
        <v>46478</v>
      </c>
      <c r="M172" s="150"/>
      <c r="N172" s="151" t="str">
        <f t="shared" ca="1" si="264"/>
        <v>O.K.</v>
      </c>
      <c r="Z172" s="3" t="s">
        <v>72</v>
      </c>
      <c r="AA172" s="36">
        <v>404.5</v>
      </c>
      <c r="AB172" s="34">
        <v>96</v>
      </c>
      <c r="AC172" s="35">
        <v>96</v>
      </c>
      <c r="AD172" s="35">
        <v>96</v>
      </c>
      <c r="AE172" s="35">
        <v>108</v>
      </c>
      <c r="AF172" s="24">
        <v>108</v>
      </c>
      <c r="AG172" s="21">
        <f t="shared" si="186"/>
        <v>0</v>
      </c>
      <c r="AH172" s="42">
        <v>0</v>
      </c>
      <c r="AI172" s="42">
        <f>+(0)+(0)+(0)+(0)+(0)+(54)</f>
        <v>54</v>
      </c>
      <c r="AJ172" s="35">
        <v>54</v>
      </c>
      <c r="AK172" s="17">
        <f t="shared" si="183"/>
        <v>0</v>
      </c>
      <c r="AL172" s="42">
        <f t="shared" si="201"/>
        <v>0</v>
      </c>
      <c r="AM172" s="42">
        <f>+(108)+(0)+(0)+(0)+(0)+(0)</f>
        <v>108</v>
      </c>
      <c r="AN172" s="35">
        <v>108</v>
      </c>
      <c r="AO172" s="65">
        <f t="shared" si="171"/>
        <v>0</v>
      </c>
      <c r="AP172" s="42">
        <f t="shared" si="184"/>
        <v>0</v>
      </c>
      <c r="AQ172" s="42">
        <f>+(0)+(0)+(0)+(0)+(120)+(0)</f>
        <v>120</v>
      </c>
      <c r="AR172" s="68">
        <v>120</v>
      </c>
      <c r="AS172" s="71">
        <f t="shared" si="282"/>
        <v>0</v>
      </c>
      <c r="AT172" s="60">
        <f>+(0)+(0)+(108)+(0)+(54)+(0)</f>
        <v>162</v>
      </c>
      <c r="AU172" s="60">
        <f t="shared" si="185"/>
        <v>0</v>
      </c>
      <c r="AV172" s="94">
        <v>150</v>
      </c>
      <c r="AW172" s="71">
        <f t="shared" si="283"/>
        <v>12</v>
      </c>
      <c r="AX172" s="60">
        <f>+(0)+(0)+(0)+(174)</f>
        <v>174</v>
      </c>
      <c r="AY172" s="113">
        <f t="shared" si="252"/>
        <v>0</v>
      </c>
      <c r="AZ172" s="72">
        <v>150</v>
      </c>
      <c r="BA172" s="72">
        <f t="shared" si="284"/>
        <v>36</v>
      </c>
      <c r="BB172" s="135">
        <f t="shared" si="220"/>
        <v>0</v>
      </c>
      <c r="BC172" s="135">
        <f>+(0)+(0)+(0)+(0)+(0)+(0)+(0)+(132)</f>
        <v>132</v>
      </c>
      <c r="BD172" s="50">
        <v>150</v>
      </c>
      <c r="BE172" s="50">
        <f t="shared" si="276"/>
        <v>18</v>
      </c>
      <c r="BG172" s="139">
        <v>0</v>
      </c>
      <c r="BH172" s="139">
        <v>0</v>
      </c>
      <c r="BI172" s="139">
        <v>0</v>
      </c>
      <c r="BJ172" s="139">
        <v>0</v>
      </c>
      <c r="BK172" s="139">
        <v>0</v>
      </c>
      <c r="BL172" s="139">
        <v>0</v>
      </c>
      <c r="BM172" s="139">
        <v>0</v>
      </c>
      <c r="BN172" s="139">
        <v>0</v>
      </c>
      <c r="BO172" s="139">
        <v>0</v>
      </c>
      <c r="BP172" s="139">
        <v>0</v>
      </c>
      <c r="BQ172" s="139">
        <v>0</v>
      </c>
      <c r="BR172" s="139">
        <v>0</v>
      </c>
      <c r="BS172" s="206">
        <v>18</v>
      </c>
      <c r="BT172" s="205">
        <f t="shared" si="219"/>
        <v>0</v>
      </c>
      <c r="BU172" s="153">
        <f t="shared" si="216"/>
        <v>1550.5</v>
      </c>
    </row>
    <row r="173" spans="1:73" ht="25.8" thickBot="1" x14ac:dyDescent="0.65">
      <c r="A173" s="53">
        <v>165</v>
      </c>
      <c r="B173" s="83" t="s">
        <v>73</v>
      </c>
      <c r="C173" s="84" t="s">
        <v>165</v>
      </c>
      <c r="D173" s="83" t="s">
        <v>110</v>
      </c>
      <c r="E173" s="85">
        <v>15</v>
      </c>
      <c r="F173" s="85">
        <f t="shared" si="279"/>
        <v>7999.9500000000007</v>
      </c>
      <c r="G173" s="85">
        <f t="shared" si="280"/>
        <v>3226</v>
      </c>
      <c r="H173" s="86">
        <f t="shared" si="281"/>
        <v>11225.95</v>
      </c>
      <c r="I173" s="87">
        <v>2</v>
      </c>
      <c r="J173" s="81">
        <v>2</v>
      </c>
      <c r="L173" s="88"/>
      <c r="M173" s="89"/>
      <c r="N173" s="90" t="s">
        <v>171</v>
      </c>
      <c r="O173" s="1"/>
      <c r="P173" s="1"/>
      <c r="Q173" s="1"/>
      <c r="R173" s="1"/>
      <c r="S173" s="1"/>
      <c r="T173" s="1"/>
      <c r="U173" s="1"/>
      <c r="V173" s="1"/>
      <c r="W173" s="1"/>
      <c r="Z173" s="3" t="s">
        <v>73</v>
      </c>
      <c r="AA173" s="36">
        <v>1576</v>
      </c>
      <c r="AB173" s="34">
        <v>150</v>
      </c>
      <c r="AC173" s="35">
        <v>150</v>
      </c>
      <c r="AD173" s="35">
        <v>150</v>
      </c>
      <c r="AE173" s="35">
        <v>150</v>
      </c>
      <c r="AF173" s="24">
        <v>354</v>
      </c>
      <c r="AG173" s="21">
        <f t="shared" si="186"/>
        <v>204</v>
      </c>
      <c r="AH173" s="42">
        <v>109.2</v>
      </c>
      <c r="AI173" s="42">
        <f>+(0)+(0)+(0)+(0)+(0)+(37.8)</f>
        <v>37.799999999999997</v>
      </c>
      <c r="AJ173" s="35">
        <v>150</v>
      </c>
      <c r="AK173" s="17">
        <f t="shared" si="183"/>
        <v>201</v>
      </c>
      <c r="AL173" s="42">
        <f t="shared" si="201"/>
        <v>0</v>
      </c>
      <c r="AM173" s="42">
        <f t="shared" si="201"/>
        <v>0</v>
      </c>
      <c r="AN173" s="35">
        <v>150</v>
      </c>
      <c r="AO173" s="24">
        <f t="shared" si="171"/>
        <v>51</v>
      </c>
      <c r="AP173" s="42">
        <f t="shared" si="184"/>
        <v>0</v>
      </c>
      <c r="AQ173" s="42">
        <f>+(0)+(0)+(84)+(0)+(0)+(96)</f>
        <v>180</v>
      </c>
      <c r="AR173" s="68">
        <v>150</v>
      </c>
      <c r="AS173" s="71">
        <f t="shared" si="282"/>
        <v>81</v>
      </c>
      <c r="AT173" s="60">
        <f>+(108)+(0)+(0)+(0)+(54)+(0)</f>
        <v>162</v>
      </c>
      <c r="AU173" s="60">
        <f t="shared" si="185"/>
        <v>0</v>
      </c>
      <c r="AV173" s="94">
        <v>150</v>
      </c>
      <c r="AW173" s="71">
        <f t="shared" si="283"/>
        <v>93</v>
      </c>
      <c r="AX173" s="60">
        <f>+(0)+(0)+(0)+(192)</f>
        <v>192</v>
      </c>
      <c r="AY173" s="113">
        <f>+(0)+(0)+(96)+(0)+(0)+(0)+(0)+(0)</f>
        <v>96</v>
      </c>
      <c r="AZ173" s="72">
        <v>150</v>
      </c>
      <c r="BA173" s="72">
        <f t="shared" si="284"/>
        <v>231</v>
      </c>
      <c r="BB173" s="135">
        <f>+(0)+(0)+(0)+(78)</f>
        <v>78</v>
      </c>
      <c r="BC173" s="135">
        <f>+(0)+(0)+(78)+(0)+(0)+(0)+(96)+(78)</f>
        <v>252</v>
      </c>
      <c r="BD173" s="50">
        <v>150</v>
      </c>
      <c r="BE173" s="50">
        <f t="shared" si="276"/>
        <v>411</v>
      </c>
      <c r="BG173" s="139">
        <v>0</v>
      </c>
      <c r="BH173" s="139">
        <v>0</v>
      </c>
      <c r="BI173" s="139">
        <v>0</v>
      </c>
      <c r="BJ173" s="139">
        <v>0</v>
      </c>
      <c r="BK173" s="139">
        <v>0</v>
      </c>
      <c r="BL173" s="139">
        <v>0</v>
      </c>
      <c r="BM173" s="139">
        <v>0</v>
      </c>
      <c r="BN173" s="139">
        <v>0</v>
      </c>
      <c r="BO173" s="139">
        <v>0</v>
      </c>
      <c r="BP173" s="139">
        <v>0</v>
      </c>
      <c r="BQ173" s="139">
        <v>0</v>
      </c>
      <c r="BR173" s="139">
        <v>0</v>
      </c>
      <c r="BS173" s="206">
        <v>150</v>
      </c>
      <c r="BT173" s="205">
        <f t="shared" si="219"/>
        <v>261</v>
      </c>
      <c r="BU173" s="153">
        <f t="shared" si="216"/>
        <v>3226</v>
      </c>
    </row>
    <row r="174" spans="1:73" ht="25.8" thickBot="1" x14ac:dyDescent="0.65">
      <c r="A174" s="53">
        <v>166</v>
      </c>
      <c r="B174" s="99" t="s">
        <v>74</v>
      </c>
      <c r="C174" s="100" t="s">
        <v>168</v>
      </c>
      <c r="D174" s="99" t="s">
        <v>99</v>
      </c>
      <c r="E174" s="101">
        <v>9</v>
      </c>
      <c r="F174" s="101">
        <f t="shared" si="279"/>
        <v>4799.97</v>
      </c>
      <c r="G174" s="101">
        <f t="shared" si="280"/>
        <v>2212.5</v>
      </c>
      <c r="H174" s="102">
        <f t="shared" si="281"/>
        <v>7012.47</v>
      </c>
      <c r="I174" s="103">
        <v>6</v>
      </c>
      <c r="J174" s="81">
        <v>6</v>
      </c>
      <c r="L174" s="96">
        <v>46023</v>
      </c>
      <c r="M174" s="97"/>
      <c r="N174" s="98" t="str">
        <f t="shared" ca="1" si="264"/>
        <v>O.K.</v>
      </c>
      <c r="Z174" s="3" t="s">
        <v>74</v>
      </c>
      <c r="AA174" s="36">
        <v>1099.5</v>
      </c>
      <c r="AB174" s="34">
        <v>96</v>
      </c>
      <c r="AC174" s="35">
        <v>120</v>
      </c>
      <c r="AD174" s="35">
        <v>96</v>
      </c>
      <c r="AE174" s="35">
        <v>120</v>
      </c>
      <c r="AF174" s="24">
        <v>156</v>
      </c>
      <c r="AG174" s="21">
        <f t="shared" si="186"/>
        <v>36</v>
      </c>
      <c r="AH174" s="42">
        <v>54</v>
      </c>
      <c r="AI174" s="42">
        <f>+(0)+(0)+(0)+(0)+(0)+(108)</f>
        <v>108</v>
      </c>
      <c r="AJ174" s="35">
        <v>120</v>
      </c>
      <c r="AK174" s="17">
        <f t="shared" si="183"/>
        <v>78</v>
      </c>
      <c r="AL174" s="42">
        <f t="shared" si="201"/>
        <v>0</v>
      </c>
      <c r="AM174" s="42">
        <f>+(0)+(0)+(0)+(0)+(0)+(30)</f>
        <v>30</v>
      </c>
      <c r="AN174" s="35">
        <v>108</v>
      </c>
      <c r="AO174" s="24">
        <f t="shared" si="171"/>
        <v>0</v>
      </c>
      <c r="AP174" s="42">
        <f>+(0)+(0)+(0)+(0)+(21)+(0)</f>
        <v>21</v>
      </c>
      <c r="AQ174" s="42">
        <f>+(0)+(0)+(0)+(0)+(0)+(162)</f>
        <v>162</v>
      </c>
      <c r="AR174" s="68">
        <v>120</v>
      </c>
      <c r="AS174" s="71">
        <f t="shared" si="282"/>
        <v>63</v>
      </c>
      <c r="AT174" s="60">
        <f t="shared" si="185"/>
        <v>0</v>
      </c>
      <c r="AU174" s="60">
        <f>+(0)+(54)+(0)+(0)+(0)+(0)</f>
        <v>54</v>
      </c>
      <c r="AV174" s="94">
        <v>117</v>
      </c>
      <c r="AW174" s="71">
        <f t="shared" si="283"/>
        <v>0</v>
      </c>
      <c r="AX174" s="60">
        <f>+(0)+(0)+(0)+(120)</f>
        <v>120</v>
      </c>
      <c r="AY174" s="113">
        <f t="shared" si="252"/>
        <v>0</v>
      </c>
      <c r="AZ174" s="72">
        <v>120</v>
      </c>
      <c r="BA174" s="72">
        <f t="shared" si="284"/>
        <v>0</v>
      </c>
      <c r="BB174" s="135">
        <f t="shared" si="220"/>
        <v>0</v>
      </c>
      <c r="BC174" s="135">
        <f>+(0)+(0)+(0)+(0)+(0)+(0)+(0)+(96)</f>
        <v>96</v>
      </c>
      <c r="BD174" s="50">
        <v>96</v>
      </c>
      <c r="BE174" s="50">
        <f t="shared" si="276"/>
        <v>0</v>
      </c>
      <c r="BG174" s="139">
        <v>0</v>
      </c>
      <c r="BH174" s="139">
        <v>0</v>
      </c>
      <c r="BI174" s="139">
        <v>0</v>
      </c>
      <c r="BJ174" s="139">
        <v>0</v>
      </c>
      <c r="BK174" s="139">
        <v>0</v>
      </c>
      <c r="BL174" s="139">
        <v>0</v>
      </c>
      <c r="BM174" s="139">
        <v>0</v>
      </c>
      <c r="BN174" s="139">
        <v>0</v>
      </c>
      <c r="BO174" s="139">
        <v>0</v>
      </c>
      <c r="BP174" s="139">
        <v>0</v>
      </c>
      <c r="BQ174" s="139">
        <v>0</v>
      </c>
      <c r="BR174" s="139">
        <v>0</v>
      </c>
      <c r="BS174" s="206">
        <v>0</v>
      </c>
      <c r="BT174" s="205">
        <f t="shared" si="219"/>
        <v>0</v>
      </c>
      <c r="BU174" s="153">
        <f t="shared" si="216"/>
        <v>2212.5</v>
      </c>
    </row>
    <row r="175" spans="1:73" ht="25.8" thickBot="1" x14ac:dyDescent="0.65">
      <c r="A175" s="53">
        <v>167</v>
      </c>
      <c r="B175" s="99" t="s">
        <v>472</v>
      </c>
      <c r="C175" s="100" t="s">
        <v>168</v>
      </c>
      <c r="D175" s="108">
        <v>45593</v>
      </c>
      <c r="E175" s="101">
        <v>2</v>
      </c>
      <c r="F175" s="101">
        <f t="shared" ref="F175" si="285">+E175*$C$1</f>
        <v>1066.6600000000001</v>
      </c>
      <c r="G175" s="101">
        <f t="shared" ref="G175" si="286">+BU175</f>
        <v>0</v>
      </c>
      <c r="H175" s="102">
        <f t="shared" ref="H175" si="287">+F175+G175</f>
        <v>1066.6600000000001</v>
      </c>
      <c r="I175" s="103">
        <v>14</v>
      </c>
      <c r="J175" s="81">
        <v>14</v>
      </c>
      <c r="L175" s="96">
        <v>46106</v>
      </c>
      <c r="M175" s="97"/>
      <c r="N175" s="98" t="str">
        <f t="shared" ca="1" si="264"/>
        <v>O.K.</v>
      </c>
      <c r="Z175" s="3" t="s">
        <v>472</v>
      </c>
      <c r="AA175" s="36"/>
      <c r="AB175" s="34"/>
      <c r="AC175" s="35"/>
      <c r="AD175" s="35"/>
      <c r="AE175" s="35"/>
      <c r="AF175" s="24"/>
      <c r="AG175" s="21"/>
      <c r="AH175" s="42"/>
      <c r="AI175" s="42"/>
      <c r="AJ175" s="35"/>
      <c r="AK175" s="17"/>
      <c r="AL175" s="42"/>
      <c r="AM175" s="42"/>
      <c r="AN175" s="35"/>
      <c r="AO175" s="24"/>
      <c r="AP175" s="42"/>
      <c r="AQ175" s="42"/>
      <c r="AR175" s="68"/>
      <c r="AS175" s="71"/>
      <c r="AT175" s="60"/>
      <c r="AU175" s="60"/>
      <c r="AV175" s="94"/>
      <c r="AW175" s="71"/>
      <c r="AX175" s="60"/>
      <c r="AY175" s="113"/>
      <c r="AZ175" s="72"/>
      <c r="BA175" s="72"/>
      <c r="BB175" s="135">
        <f t="shared" si="220"/>
        <v>0</v>
      </c>
      <c r="BC175" s="135">
        <f t="shared" si="217"/>
        <v>0</v>
      </c>
      <c r="BD175" s="50">
        <v>0</v>
      </c>
      <c r="BE175" s="50">
        <f t="shared" ref="BE175" si="288">(BA175+BB175+BC175)-BD175</f>
        <v>0</v>
      </c>
      <c r="BG175" s="139">
        <v>0</v>
      </c>
      <c r="BH175" s="139">
        <v>0</v>
      </c>
      <c r="BI175" s="139">
        <v>0</v>
      </c>
      <c r="BJ175" s="139">
        <v>0</v>
      </c>
      <c r="BK175" s="139">
        <v>0</v>
      </c>
      <c r="BL175" s="139">
        <v>0</v>
      </c>
      <c r="BM175" s="139">
        <v>0</v>
      </c>
      <c r="BN175" s="139">
        <v>0</v>
      </c>
      <c r="BO175" s="139">
        <v>0</v>
      </c>
      <c r="BP175" s="139">
        <v>0</v>
      </c>
      <c r="BQ175" s="139">
        <v>0</v>
      </c>
      <c r="BR175" s="139">
        <v>0</v>
      </c>
      <c r="BS175" s="206">
        <v>0</v>
      </c>
      <c r="BT175" s="205">
        <f t="shared" si="219"/>
        <v>0</v>
      </c>
      <c r="BU175" s="153">
        <f t="shared" si="216"/>
        <v>0</v>
      </c>
    </row>
    <row r="176" spans="1:73" ht="25.8" thickBot="1" x14ac:dyDescent="0.65">
      <c r="A176" s="53">
        <v>168</v>
      </c>
      <c r="B176" s="99" t="s">
        <v>75</v>
      </c>
      <c r="C176" s="100" t="s">
        <v>165</v>
      </c>
      <c r="D176" s="99" t="s">
        <v>94</v>
      </c>
      <c r="E176" s="101">
        <v>8</v>
      </c>
      <c r="F176" s="101">
        <f t="shared" si="279"/>
        <v>4266.6400000000003</v>
      </c>
      <c r="G176" s="101">
        <f t="shared" si="280"/>
        <v>2046</v>
      </c>
      <c r="H176" s="102">
        <f t="shared" si="281"/>
        <v>6312.64</v>
      </c>
      <c r="I176" s="103">
        <v>8</v>
      </c>
      <c r="J176" s="81">
        <v>8</v>
      </c>
      <c r="L176" s="96">
        <v>46023</v>
      </c>
      <c r="M176" s="97"/>
      <c r="N176" s="98" t="str">
        <f t="shared" ca="1" si="264"/>
        <v>O.K.</v>
      </c>
      <c r="Z176" s="3" t="s">
        <v>75</v>
      </c>
      <c r="AA176" s="36">
        <v>450</v>
      </c>
      <c r="AB176" s="34">
        <v>150</v>
      </c>
      <c r="AC176" s="35">
        <v>96</v>
      </c>
      <c r="AD176" s="35">
        <v>150</v>
      </c>
      <c r="AE176" s="35">
        <v>150</v>
      </c>
      <c r="AF176" s="24">
        <v>210</v>
      </c>
      <c r="AG176" s="21">
        <f t="shared" si="186"/>
        <v>60</v>
      </c>
      <c r="AH176" s="42">
        <v>54.6</v>
      </c>
      <c r="AI176" s="42">
        <f>+(0)+(54)+(0)+(0)+(54)+(357.6)</f>
        <v>465.6</v>
      </c>
      <c r="AJ176" s="35">
        <v>150</v>
      </c>
      <c r="AK176" s="17">
        <f t="shared" si="183"/>
        <v>430.20000000000005</v>
      </c>
      <c r="AL176" s="42">
        <f t="shared" si="201"/>
        <v>0</v>
      </c>
      <c r="AM176" s="42">
        <f>+(78)+(0)+(0)+(0)+(78)+(0)</f>
        <v>156</v>
      </c>
      <c r="AN176" s="35">
        <v>150</v>
      </c>
      <c r="AO176" s="24">
        <f t="shared" si="171"/>
        <v>436.20000000000005</v>
      </c>
      <c r="AP176" s="42">
        <f>+(0)+(96)+(0)+(0)+(0)+(0)</f>
        <v>96</v>
      </c>
      <c r="AQ176" s="42">
        <f t="shared" si="184"/>
        <v>0</v>
      </c>
      <c r="AR176" s="68">
        <v>150</v>
      </c>
      <c r="AS176" s="71">
        <f t="shared" si="282"/>
        <v>382.20000000000005</v>
      </c>
      <c r="AT176" s="60">
        <f>+(0)+(30)+(0)+(0)+(54)+(0)</f>
        <v>84</v>
      </c>
      <c r="AU176" s="60">
        <f t="shared" si="185"/>
        <v>0</v>
      </c>
      <c r="AV176" s="94">
        <v>150</v>
      </c>
      <c r="AW176" s="71">
        <f t="shared" si="283"/>
        <v>316.20000000000005</v>
      </c>
      <c r="AX176" s="60">
        <f t="shared" ref="AX176:AX375" si="289">+(0)+(0)+(0)+(0)</f>
        <v>0</v>
      </c>
      <c r="AY176" s="113">
        <f>+(0)+(0)+(0)+(0)+(0)+(0)+(0)+(108)</f>
        <v>108</v>
      </c>
      <c r="AZ176" s="71">
        <v>150</v>
      </c>
      <c r="BA176" s="71">
        <f t="shared" si="284"/>
        <v>274.20000000000005</v>
      </c>
      <c r="BB176" s="135">
        <f t="shared" si="220"/>
        <v>0</v>
      </c>
      <c r="BC176" s="135">
        <f t="shared" si="217"/>
        <v>0</v>
      </c>
      <c r="BD176" s="50">
        <v>150</v>
      </c>
      <c r="BE176" s="50">
        <f t="shared" si="276"/>
        <v>124.20000000000005</v>
      </c>
      <c r="BG176" s="139">
        <v>0</v>
      </c>
      <c r="BH176" s="207">
        <v>54</v>
      </c>
      <c r="BI176" s="139">
        <v>0</v>
      </c>
      <c r="BJ176" s="139">
        <v>0</v>
      </c>
      <c r="BK176" s="139">
        <v>0</v>
      </c>
      <c r="BL176" s="139">
        <v>0</v>
      </c>
      <c r="BM176" s="139">
        <v>0</v>
      </c>
      <c r="BN176" s="139">
        <v>0</v>
      </c>
      <c r="BO176" s="139">
        <v>0</v>
      </c>
      <c r="BP176" s="139">
        <v>0</v>
      </c>
      <c r="BQ176" s="139">
        <v>0</v>
      </c>
      <c r="BR176" s="139">
        <v>0</v>
      </c>
      <c r="BS176" s="206">
        <v>150</v>
      </c>
      <c r="BT176" s="205">
        <f t="shared" si="219"/>
        <v>28.200000000000045</v>
      </c>
      <c r="BU176" s="153">
        <f t="shared" si="216"/>
        <v>2046</v>
      </c>
    </row>
    <row r="177" spans="1:73" ht="25.8" thickBot="1" x14ac:dyDescent="0.65">
      <c r="A177" s="53">
        <v>169</v>
      </c>
      <c r="B177" s="143" t="s">
        <v>375</v>
      </c>
      <c r="C177" s="144" t="s">
        <v>165</v>
      </c>
      <c r="D177" s="145">
        <v>44743</v>
      </c>
      <c r="E177" s="146">
        <v>2</v>
      </c>
      <c r="F177" s="146">
        <f t="shared" ref="F177" si="290">+E177*$C$1</f>
        <v>1066.6600000000001</v>
      </c>
      <c r="G177" s="146">
        <f t="shared" ref="G177" si="291">+BU177</f>
        <v>1266.8</v>
      </c>
      <c r="H177" s="147">
        <f t="shared" ref="H177" si="292">+F177+G177</f>
        <v>2333.46</v>
      </c>
      <c r="I177" s="148">
        <v>13</v>
      </c>
      <c r="J177" s="81">
        <v>13</v>
      </c>
      <c r="L177" s="149">
        <v>46454</v>
      </c>
      <c r="M177" s="150"/>
      <c r="N177" s="151" t="str">
        <f t="shared" ca="1" si="264"/>
        <v>O.K.</v>
      </c>
      <c r="Z177" s="3" t="s">
        <v>375</v>
      </c>
      <c r="AA177" s="49">
        <v>516.79999999999995</v>
      </c>
      <c r="AB177" s="34">
        <v>0</v>
      </c>
      <c r="AC177" s="35">
        <v>0</v>
      </c>
      <c r="AD177" s="35">
        <v>0</v>
      </c>
      <c r="AE177" s="35">
        <v>0</v>
      </c>
      <c r="AF177" s="24">
        <v>0</v>
      </c>
      <c r="AG177" s="21">
        <f t="shared" si="186"/>
        <v>0</v>
      </c>
      <c r="AH177" s="42">
        <v>0</v>
      </c>
      <c r="AI177" s="42">
        <v>0</v>
      </c>
      <c r="AJ177" s="35">
        <v>0</v>
      </c>
      <c r="AK177" s="17">
        <f t="shared" si="183"/>
        <v>0</v>
      </c>
      <c r="AL177" s="42">
        <v>0</v>
      </c>
      <c r="AM177" s="42">
        <v>0</v>
      </c>
      <c r="AN177" s="35">
        <v>0</v>
      </c>
      <c r="AO177" s="24">
        <f t="shared" si="171"/>
        <v>0</v>
      </c>
      <c r="AP177" s="42">
        <f t="shared" si="184"/>
        <v>0</v>
      </c>
      <c r="AQ177" s="42">
        <f>+(0)+(0)+(0)+(0)+(0)+(205.2)</f>
        <v>205.2</v>
      </c>
      <c r="AR177" s="68">
        <v>150</v>
      </c>
      <c r="AS177" s="71">
        <f t="shared" si="282"/>
        <v>55.199999999999989</v>
      </c>
      <c r="AT177" s="60">
        <f>+(108)+(0)+(0)+(0)+(54)+(0)</f>
        <v>162</v>
      </c>
      <c r="AU177" s="60">
        <f t="shared" si="185"/>
        <v>0</v>
      </c>
      <c r="AV177" s="94">
        <v>150</v>
      </c>
      <c r="AW177" s="71">
        <f t="shared" si="283"/>
        <v>67.199999999999989</v>
      </c>
      <c r="AX177" s="60">
        <f t="shared" si="289"/>
        <v>0</v>
      </c>
      <c r="AY177" s="113">
        <f>+(0)+(186)+(0)+(0)+(0)+(0)+(0)+(30)</f>
        <v>216</v>
      </c>
      <c r="AZ177" s="71">
        <v>150</v>
      </c>
      <c r="BA177" s="71">
        <f t="shared" si="284"/>
        <v>133.19999999999999</v>
      </c>
      <c r="BB177" s="135">
        <f>+(0)+(30)+(0)+(78)</f>
        <v>108</v>
      </c>
      <c r="BC177" s="135">
        <f>+(0)+(0)+(132)+(0)+(0)+(0)+(0)+(0)</f>
        <v>132</v>
      </c>
      <c r="BD177" s="50">
        <v>150</v>
      </c>
      <c r="BE177" s="50">
        <f t="shared" si="276"/>
        <v>223.2</v>
      </c>
      <c r="BG177" s="139">
        <v>0</v>
      </c>
      <c r="BH177" s="139">
        <v>0</v>
      </c>
      <c r="BI177" s="139">
        <v>0</v>
      </c>
      <c r="BJ177" s="139">
        <v>0</v>
      </c>
      <c r="BK177" s="139">
        <v>0</v>
      </c>
      <c r="BL177" s="139">
        <v>0</v>
      </c>
      <c r="BM177" s="139">
        <v>0</v>
      </c>
      <c r="BN177" s="139">
        <v>0</v>
      </c>
      <c r="BO177" s="139">
        <v>0</v>
      </c>
      <c r="BP177" s="139">
        <v>0</v>
      </c>
      <c r="BQ177" s="139">
        <v>0</v>
      </c>
      <c r="BR177" s="139">
        <v>0</v>
      </c>
      <c r="BS177" s="206">
        <v>150</v>
      </c>
      <c r="BT177" s="205">
        <f t="shared" si="219"/>
        <v>73.199999999999989</v>
      </c>
      <c r="BU177" s="153">
        <f t="shared" si="216"/>
        <v>1266.8</v>
      </c>
    </row>
    <row r="178" spans="1:73" ht="25.8" thickBot="1" x14ac:dyDescent="0.65">
      <c r="A178" s="53">
        <v>170</v>
      </c>
      <c r="B178" s="143" t="s">
        <v>500</v>
      </c>
      <c r="C178" s="144" t="s">
        <v>354</v>
      </c>
      <c r="D178" s="145">
        <v>45780</v>
      </c>
      <c r="E178" s="146">
        <v>0</v>
      </c>
      <c r="F178" s="146">
        <f t="shared" ref="F178" si="293">+E178*$C$1</f>
        <v>0</v>
      </c>
      <c r="G178" s="146">
        <f t="shared" ref="G178" si="294">+BU178</f>
        <v>0</v>
      </c>
      <c r="H178" s="147">
        <f t="shared" ref="H178" si="295">+F178+G178</f>
        <v>0</v>
      </c>
      <c r="I178" s="148">
        <v>15</v>
      </c>
      <c r="J178" s="81">
        <v>15</v>
      </c>
      <c r="L178" s="149">
        <v>46510</v>
      </c>
      <c r="M178" s="150"/>
      <c r="N178" s="151" t="str">
        <f t="shared" ca="1" si="264"/>
        <v>O.K.</v>
      </c>
      <c r="Z178" s="3" t="s">
        <v>500</v>
      </c>
      <c r="AA178" s="36"/>
      <c r="AB178" s="34"/>
      <c r="AC178" s="35"/>
      <c r="AD178" s="35"/>
      <c r="AE178" s="35"/>
      <c r="AF178" s="24"/>
      <c r="AG178" s="21"/>
      <c r="AH178" s="42"/>
      <c r="AI178" s="42"/>
      <c r="AJ178" s="35"/>
      <c r="AK178" s="17"/>
      <c r="AL178" s="42"/>
      <c r="AM178" s="42"/>
      <c r="AN178" s="35"/>
      <c r="AO178" s="24"/>
      <c r="AP178" s="42"/>
      <c r="AQ178" s="42"/>
      <c r="AR178" s="68"/>
      <c r="AS178" s="71"/>
      <c r="AT178" s="60"/>
      <c r="AU178" s="60"/>
      <c r="AV178" s="94"/>
      <c r="AW178" s="71"/>
      <c r="AX178" s="60"/>
      <c r="AY178" s="113"/>
      <c r="AZ178" s="71"/>
      <c r="BA178" s="71"/>
      <c r="BB178" s="135">
        <f t="shared" si="220"/>
        <v>0</v>
      </c>
      <c r="BC178" s="135">
        <f t="shared" si="217"/>
        <v>0</v>
      </c>
      <c r="BD178" s="50">
        <v>0</v>
      </c>
      <c r="BE178" s="50">
        <f t="shared" si="276"/>
        <v>0</v>
      </c>
      <c r="BG178" s="139">
        <v>0</v>
      </c>
      <c r="BH178" s="139">
        <v>0</v>
      </c>
      <c r="BI178" s="139">
        <v>0</v>
      </c>
      <c r="BJ178" s="139">
        <v>0</v>
      </c>
      <c r="BK178" s="139">
        <v>0</v>
      </c>
      <c r="BL178" s="139">
        <v>0</v>
      </c>
      <c r="BM178" s="139">
        <v>0</v>
      </c>
      <c r="BN178" s="139">
        <v>0</v>
      </c>
      <c r="BO178" s="139">
        <v>0</v>
      </c>
      <c r="BP178" s="139">
        <v>0</v>
      </c>
      <c r="BQ178" s="139">
        <v>0</v>
      </c>
      <c r="BR178" s="139">
        <v>0</v>
      </c>
      <c r="BS178" s="206">
        <v>0</v>
      </c>
      <c r="BT178" s="205">
        <f t="shared" si="219"/>
        <v>0</v>
      </c>
      <c r="BU178" s="153">
        <f t="shared" si="216"/>
        <v>0</v>
      </c>
    </row>
    <row r="179" spans="1:73" ht="25.8" thickBot="1" x14ac:dyDescent="0.65">
      <c r="A179" s="53">
        <v>171</v>
      </c>
      <c r="B179" s="143" t="s">
        <v>286</v>
      </c>
      <c r="C179" s="144" t="s">
        <v>165</v>
      </c>
      <c r="D179" s="145">
        <v>43556</v>
      </c>
      <c r="E179" s="146">
        <v>3</v>
      </c>
      <c r="F179" s="146">
        <f t="shared" si="279"/>
        <v>1599.9900000000002</v>
      </c>
      <c r="G179" s="146">
        <f t="shared" si="280"/>
        <v>1050</v>
      </c>
      <c r="H179" s="147">
        <f t="shared" si="281"/>
        <v>2649.9900000000002</v>
      </c>
      <c r="I179" s="148">
        <v>12</v>
      </c>
      <c r="J179" s="81">
        <v>12</v>
      </c>
      <c r="K179" s="208" t="s">
        <v>309</v>
      </c>
      <c r="L179" s="149">
        <v>46478</v>
      </c>
      <c r="M179" s="150"/>
      <c r="N179" s="151" t="str">
        <f t="shared" ca="1" si="264"/>
        <v>O.K.</v>
      </c>
      <c r="Z179" s="3" t="s">
        <v>286</v>
      </c>
      <c r="AA179" s="36">
        <v>0</v>
      </c>
      <c r="AB179" s="34">
        <v>0</v>
      </c>
      <c r="AC179" s="35">
        <v>0</v>
      </c>
      <c r="AD179" s="35">
        <v>0</v>
      </c>
      <c r="AE179" s="35">
        <v>0</v>
      </c>
      <c r="AF179" s="24">
        <v>0</v>
      </c>
      <c r="AG179" s="21">
        <f t="shared" si="186"/>
        <v>0</v>
      </c>
      <c r="AH179" s="42">
        <v>0</v>
      </c>
      <c r="AI179" s="42">
        <f>+(0)+(132)+(0)+(0)+(174)+(162)</f>
        <v>468</v>
      </c>
      <c r="AJ179" s="35">
        <v>150</v>
      </c>
      <c r="AK179" s="17">
        <f t="shared" si="183"/>
        <v>318</v>
      </c>
      <c r="AL179" s="42">
        <f>+(0)+(0)+(0)+(0)+(156)+(0)</f>
        <v>156</v>
      </c>
      <c r="AM179" s="42">
        <f>+(0)+(54)+(78)+(0)+(0)+(0)</f>
        <v>132</v>
      </c>
      <c r="AN179" s="35">
        <v>150</v>
      </c>
      <c r="AO179" s="24">
        <f t="shared" si="171"/>
        <v>456</v>
      </c>
      <c r="AP179" s="42">
        <f t="shared" si="184"/>
        <v>0</v>
      </c>
      <c r="AQ179" s="42">
        <f>+(0)+(163.8)+(0)+(0)+(0)+(96)</f>
        <v>259.8</v>
      </c>
      <c r="AR179" s="68">
        <v>150</v>
      </c>
      <c r="AS179" s="71">
        <f t="shared" si="282"/>
        <v>565.79999999999995</v>
      </c>
      <c r="AT179" s="60">
        <f>+(0)+(0)+(0)+(0)+(54)+(0)</f>
        <v>54</v>
      </c>
      <c r="AU179" s="60">
        <f t="shared" si="185"/>
        <v>0</v>
      </c>
      <c r="AV179" s="94">
        <v>150</v>
      </c>
      <c r="AW179" s="71">
        <f t="shared" si="283"/>
        <v>469.79999999999995</v>
      </c>
      <c r="AX179" s="60">
        <f t="shared" si="289"/>
        <v>0</v>
      </c>
      <c r="AY179" s="113">
        <f>+(0)+(0)+(0)+(0)+(78)+(0)+(0)+(0)</f>
        <v>78</v>
      </c>
      <c r="AZ179" s="72">
        <v>150</v>
      </c>
      <c r="BA179" s="72">
        <f t="shared" si="284"/>
        <v>397.79999999999995</v>
      </c>
      <c r="BB179" s="135">
        <f>+(0)+(0)+(0)+(78)</f>
        <v>78</v>
      </c>
      <c r="BC179" s="135">
        <f>+(0)+(54)+(96)+(30)+(0)+(0)+(156)+(0)</f>
        <v>336</v>
      </c>
      <c r="BD179" s="50">
        <v>150</v>
      </c>
      <c r="BE179" s="50">
        <f t="shared" si="276"/>
        <v>661.8</v>
      </c>
      <c r="BG179" s="139">
        <v>0</v>
      </c>
      <c r="BH179" s="139">
        <v>0</v>
      </c>
      <c r="BI179" s="139">
        <v>0</v>
      </c>
      <c r="BJ179" s="139">
        <v>0</v>
      </c>
      <c r="BK179" s="139">
        <v>0</v>
      </c>
      <c r="BL179" s="139">
        <v>0</v>
      </c>
      <c r="BM179" s="139">
        <v>0</v>
      </c>
      <c r="BN179" s="139">
        <v>0</v>
      </c>
      <c r="BO179" s="139">
        <v>0</v>
      </c>
      <c r="BP179" s="139">
        <v>0</v>
      </c>
      <c r="BQ179" s="139">
        <v>0</v>
      </c>
      <c r="BR179" s="139">
        <v>0</v>
      </c>
      <c r="BS179" s="206">
        <v>150</v>
      </c>
      <c r="BT179" s="205">
        <f t="shared" si="219"/>
        <v>511.79999999999995</v>
      </c>
      <c r="BU179" s="153">
        <f t="shared" si="216"/>
        <v>1050</v>
      </c>
    </row>
    <row r="180" spans="1:73" ht="25.8" thickBot="1" x14ac:dyDescent="0.65">
      <c r="A180" s="53">
        <v>172</v>
      </c>
      <c r="B180" s="143" t="s">
        <v>76</v>
      </c>
      <c r="C180" s="144" t="s">
        <v>165</v>
      </c>
      <c r="D180" s="143" t="s">
        <v>149</v>
      </c>
      <c r="E180" s="146">
        <v>6</v>
      </c>
      <c r="F180" s="146">
        <f t="shared" si="279"/>
        <v>3199.9800000000005</v>
      </c>
      <c r="G180" s="146">
        <f t="shared" si="280"/>
        <v>1807.8</v>
      </c>
      <c r="H180" s="147">
        <f t="shared" si="281"/>
        <v>5007.7800000000007</v>
      </c>
      <c r="I180" s="148">
        <v>9</v>
      </c>
      <c r="J180" s="81">
        <v>9</v>
      </c>
      <c r="K180" s="208" t="s">
        <v>309</v>
      </c>
      <c r="L180" s="149">
        <v>46569</v>
      </c>
      <c r="M180" s="150"/>
      <c r="N180" s="151" t="str">
        <f t="shared" ca="1" si="264"/>
        <v>O.K.</v>
      </c>
      <c r="Z180" s="3" t="s">
        <v>76</v>
      </c>
      <c r="AA180" s="36">
        <v>300</v>
      </c>
      <c r="AB180" s="34">
        <v>150</v>
      </c>
      <c r="AC180" s="35">
        <v>150</v>
      </c>
      <c r="AD180" s="35">
        <v>96</v>
      </c>
      <c r="AE180" s="35">
        <v>150</v>
      </c>
      <c r="AF180" s="24">
        <v>192</v>
      </c>
      <c r="AG180" s="21">
        <f t="shared" si="186"/>
        <v>42</v>
      </c>
      <c r="AH180" s="42">
        <f>120+54.6+108</f>
        <v>282.60000000000002</v>
      </c>
      <c r="AI180" s="42">
        <f>+(0)+(54.6)+(54)+(0)+(0)+(174)</f>
        <v>282.60000000000002</v>
      </c>
      <c r="AJ180" s="35">
        <v>150</v>
      </c>
      <c r="AK180" s="17">
        <f t="shared" si="183"/>
        <v>457.20000000000005</v>
      </c>
      <c r="AL180" s="42">
        <f t="shared" si="201"/>
        <v>0</v>
      </c>
      <c r="AM180" s="42">
        <f t="shared" si="201"/>
        <v>0</v>
      </c>
      <c r="AN180" s="35">
        <v>150</v>
      </c>
      <c r="AO180" s="24">
        <f t="shared" si="171"/>
        <v>307.20000000000005</v>
      </c>
      <c r="AP180" s="42">
        <f t="shared" si="184"/>
        <v>0</v>
      </c>
      <c r="AQ180" s="42">
        <f t="shared" si="184"/>
        <v>0</v>
      </c>
      <c r="AR180" s="68">
        <v>150</v>
      </c>
      <c r="AS180" s="71">
        <f t="shared" si="282"/>
        <v>157.20000000000005</v>
      </c>
      <c r="AT180" s="60">
        <f t="shared" si="185"/>
        <v>0</v>
      </c>
      <c r="AU180" s="60">
        <f t="shared" si="185"/>
        <v>0</v>
      </c>
      <c r="AV180" s="94">
        <v>150</v>
      </c>
      <c r="AW180" s="71">
        <f t="shared" si="283"/>
        <v>7.2000000000000455</v>
      </c>
      <c r="AX180" s="60">
        <f t="shared" si="289"/>
        <v>0</v>
      </c>
      <c r="AY180" s="113">
        <f>+(0)+(0)+(0)+(0)+(0)+(54.6)+(0)+(0)</f>
        <v>54.6</v>
      </c>
      <c r="AZ180" s="72">
        <v>61.8</v>
      </c>
      <c r="BA180" s="72">
        <f t="shared" si="284"/>
        <v>0</v>
      </c>
      <c r="BB180" s="135">
        <f>+(0)+(0)+(0)+(96)</f>
        <v>96</v>
      </c>
      <c r="BC180" s="135">
        <f>+(0)+(0)+(126)+(0)+(0)+(0)+(96)+(0)</f>
        <v>222</v>
      </c>
      <c r="BD180" s="50">
        <v>150</v>
      </c>
      <c r="BE180" s="50">
        <f t="shared" si="276"/>
        <v>168</v>
      </c>
      <c r="BG180" s="139">
        <v>0</v>
      </c>
      <c r="BH180" s="139">
        <v>0</v>
      </c>
      <c r="BI180" s="139">
        <v>0</v>
      </c>
      <c r="BJ180" s="139">
        <v>0</v>
      </c>
      <c r="BK180" s="139">
        <v>0</v>
      </c>
      <c r="BL180" s="139">
        <v>0</v>
      </c>
      <c r="BM180" s="139">
        <v>0</v>
      </c>
      <c r="BN180" s="139">
        <v>0</v>
      </c>
      <c r="BO180" s="139">
        <v>0</v>
      </c>
      <c r="BP180" s="139">
        <v>0</v>
      </c>
      <c r="BQ180" s="139">
        <v>0</v>
      </c>
      <c r="BR180" s="139">
        <v>0</v>
      </c>
      <c r="BS180" s="206">
        <v>150</v>
      </c>
      <c r="BT180" s="205">
        <f t="shared" si="219"/>
        <v>18</v>
      </c>
      <c r="BU180" s="153">
        <f t="shared" si="216"/>
        <v>1807.8</v>
      </c>
    </row>
    <row r="181" spans="1:73" ht="25.8" thickBot="1" x14ac:dyDescent="0.65">
      <c r="A181" s="53">
        <v>173</v>
      </c>
      <c r="B181" s="191" t="s">
        <v>252</v>
      </c>
      <c r="C181" s="192" t="s">
        <v>168</v>
      </c>
      <c r="D181" s="193">
        <v>41487</v>
      </c>
      <c r="E181" s="194">
        <v>6</v>
      </c>
      <c r="F181" s="194">
        <f t="shared" si="279"/>
        <v>3199.9800000000005</v>
      </c>
      <c r="G181" s="194">
        <f>+'BIENIOS EDUARDO FREI M.'!BU181</f>
        <v>1542</v>
      </c>
      <c r="H181" s="195">
        <f>+F181+G181</f>
        <v>4741.9800000000005</v>
      </c>
      <c r="I181" s="196">
        <v>9</v>
      </c>
      <c r="J181" s="81">
        <v>9</v>
      </c>
      <c r="L181" s="165">
        <v>46600</v>
      </c>
      <c r="M181" s="150"/>
      <c r="N181" s="151" t="str">
        <f t="shared" ca="1" si="264"/>
        <v>O.K.</v>
      </c>
      <c r="Z181" s="3" t="s">
        <v>252</v>
      </c>
      <c r="AA181" s="34">
        <v>270</v>
      </c>
      <c r="AB181" s="34">
        <v>96</v>
      </c>
      <c r="AC181" s="35">
        <v>96</v>
      </c>
      <c r="AD181" s="35">
        <v>120</v>
      </c>
      <c r="AE181" s="35">
        <v>120</v>
      </c>
      <c r="AF181" s="24">
        <v>480</v>
      </c>
      <c r="AG181" s="21">
        <f t="shared" si="186"/>
        <v>360</v>
      </c>
      <c r="AH181" s="42">
        <v>145.19999999999999</v>
      </c>
      <c r="AI181" s="42">
        <f>+(0)+(0)+(78)+(0)+(54)+(54)</f>
        <v>186</v>
      </c>
      <c r="AJ181" s="35">
        <v>120</v>
      </c>
      <c r="AK181" s="17">
        <f t="shared" si="183"/>
        <v>571.20000000000005</v>
      </c>
      <c r="AL181" s="42">
        <f t="shared" si="201"/>
        <v>0</v>
      </c>
      <c r="AM181" s="42">
        <f t="shared" si="201"/>
        <v>0</v>
      </c>
      <c r="AN181" s="35">
        <v>120</v>
      </c>
      <c r="AO181" s="24">
        <f t="shared" si="171"/>
        <v>451.20000000000005</v>
      </c>
      <c r="AP181" s="42">
        <f>+(0)+(0)+(0)+(0)+(30)+(0)</f>
        <v>30</v>
      </c>
      <c r="AQ181" s="42">
        <f>+(228)+(0)+(0)+(0)+(0)+(0)</f>
        <v>228</v>
      </c>
      <c r="AR181" s="68">
        <v>120</v>
      </c>
      <c r="AS181" s="71">
        <f t="shared" si="282"/>
        <v>589.20000000000005</v>
      </c>
      <c r="AT181" s="60">
        <f>+(0)+(0)+(45)+(0)+(30)+(0)</f>
        <v>75</v>
      </c>
      <c r="AU181" s="60">
        <f t="shared" si="185"/>
        <v>0</v>
      </c>
      <c r="AV181" s="94">
        <v>120</v>
      </c>
      <c r="AW181" s="71">
        <f t="shared" si="283"/>
        <v>544.20000000000005</v>
      </c>
      <c r="AX181" s="60">
        <f>+(120)+(0)+(0)+(78)</f>
        <v>198</v>
      </c>
      <c r="AY181" s="113">
        <f>+(54.6)+(0)+(96)+(0)+(0)+(0)+(0)+(0)</f>
        <v>150.6</v>
      </c>
      <c r="AZ181" s="72">
        <v>120</v>
      </c>
      <c r="BA181" s="72">
        <f>(+AW181+AX181+AY181)-AZ181</f>
        <v>772.80000000000007</v>
      </c>
      <c r="BB181" s="135">
        <f t="shared" si="220"/>
        <v>0</v>
      </c>
      <c r="BC181" s="135">
        <f>+(0)+(0)+(0)+(0)+(60)+(0)+(96)+(0)</f>
        <v>156</v>
      </c>
      <c r="BD181" s="50">
        <v>120</v>
      </c>
      <c r="BE181" s="50">
        <f t="shared" si="276"/>
        <v>808.80000000000007</v>
      </c>
      <c r="BG181" s="139">
        <v>0</v>
      </c>
      <c r="BH181" s="207">
        <v>130.19999999999999</v>
      </c>
      <c r="BI181" s="139">
        <v>0</v>
      </c>
      <c r="BJ181" s="139">
        <v>0</v>
      </c>
      <c r="BK181" s="139">
        <v>0</v>
      </c>
      <c r="BL181" s="139">
        <v>0</v>
      </c>
      <c r="BM181" s="139">
        <v>0</v>
      </c>
      <c r="BN181" s="139">
        <v>0</v>
      </c>
      <c r="BO181" s="139">
        <v>0</v>
      </c>
      <c r="BP181" s="139">
        <v>0</v>
      </c>
      <c r="BQ181" s="139">
        <v>0</v>
      </c>
      <c r="BR181" s="139">
        <v>0</v>
      </c>
      <c r="BS181" s="206">
        <v>120</v>
      </c>
      <c r="BT181" s="205">
        <f t="shared" si="219"/>
        <v>819</v>
      </c>
      <c r="BU181" s="153">
        <f t="shared" si="216"/>
        <v>1542</v>
      </c>
    </row>
    <row r="182" spans="1:73" ht="25.8" thickBot="1" x14ac:dyDescent="0.65">
      <c r="A182" s="53">
        <v>174</v>
      </c>
      <c r="B182" s="99" t="s">
        <v>253</v>
      </c>
      <c r="C182" s="100" t="s">
        <v>165</v>
      </c>
      <c r="D182" s="108">
        <v>43266</v>
      </c>
      <c r="E182" s="101">
        <v>3</v>
      </c>
      <c r="F182" s="101">
        <f t="shared" si="279"/>
        <v>1599.9900000000002</v>
      </c>
      <c r="G182" s="101">
        <f>+'BIENIOS EDUARDO FREI M.'!BU182</f>
        <v>1296</v>
      </c>
      <c r="H182" s="102">
        <f>+F182+G182</f>
        <v>2895.9900000000002</v>
      </c>
      <c r="I182" s="103">
        <v>12</v>
      </c>
      <c r="J182" s="81">
        <v>12</v>
      </c>
      <c r="L182" s="96">
        <v>46188</v>
      </c>
      <c r="M182" s="97"/>
      <c r="N182" s="98" t="str">
        <f t="shared" ca="1" si="264"/>
        <v>O.K.</v>
      </c>
      <c r="Z182" s="3" t="s">
        <v>253</v>
      </c>
      <c r="AA182" s="36">
        <v>0</v>
      </c>
      <c r="AB182" s="34">
        <v>0</v>
      </c>
      <c r="AC182" s="35">
        <v>0</v>
      </c>
      <c r="AD182" s="35">
        <v>96</v>
      </c>
      <c r="AE182" s="35">
        <v>150</v>
      </c>
      <c r="AF182" s="24">
        <v>210.6</v>
      </c>
      <c r="AG182" s="21">
        <f t="shared" si="186"/>
        <v>60.599999999999994</v>
      </c>
      <c r="AH182" s="42">
        <v>0</v>
      </c>
      <c r="AI182" s="42">
        <f>+(0)+(21)+(0)+(0)+(0)+(162)</f>
        <v>183</v>
      </c>
      <c r="AJ182" s="35">
        <v>150</v>
      </c>
      <c r="AK182" s="17">
        <f t="shared" si="183"/>
        <v>93.6</v>
      </c>
      <c r="AL182" s="42">
        <f t="shared" si="201"/>
        <v>0</v>
      </c>
      <c r="AM182" s="42">
        <f>+(0)+(0)+(306)+(0)+(0)+(0)</f>
        <v>306</v>
      </c>
      <c r="AN182" s="35">
        <v>150</v>
      </c>
      <c r="AO182" s="24">
        <f t="shared" ref="AO182:AO213" si="296">+AK182+AL182+AM182-AN182</f>
        <v>249.60000000000002</v>
      </c>
      <c r="AP182" s="42">
        <f t="shared" si="184"/>
        <v>0</v>
      </c>
      <c r="AQ182" s="42">
        <f>+(0)+(0)+(288)+(0)+(108)+(0)</f>
        <v>396</v>
      </c>
      <c r="AR182" s="68">
        <v>150</v>
      </c>
      <c r="AS182" s="71">
        <f t="shared" si="282"/>
        <v>495.6</v>
      </c>
      <c r="AT182" s="60">
        <f>+(0)+(0)+(0)+(0)+(54)+(0)</f>
        <v>54</v>
      </c>
      <c r="AU182" s="60">
        <f>+(0)+(138)+(0)+(0)+(0)+(0)</f>
        <v>138</v>
      </c>
      <c r="AV182" s="94">
        <v>150</v>
      </c>
      <c r="AW182" s="71">
        <f t="shared" si="283"/>
        <v>537.6</v>
      </c>
      <c r="AX182" s="60">
        <f>+(0)+(0)+(96)+(96)</f>
        <v>192</v>
      </c>
      <c r="AY182" s="113">
        <f>+(0)+(0)+(174)+(0)+(51.6)+(0)+(0)+(0)</f>
        <v>225.6</v>
      </c>
      <c r="AZ182" s="72">
        <v>150</v>
      </c>
      <c r="BA182" s="72">
        <f t="shared" ref="BA182:BA199" si="297">(+AW182+AX182+AY182)-AZ182</f>
        <v>805.2</v>
      </c>
      <c r="BB182" s="135">
        <f>+(0)+(0)+(0)+(186)</f>
        <v>186</v>
      </c>
      <c r="BC182" s="135">
        <f>+(0)+(0)+(156)+(0)+(0)+(0)+(0)+(0)</f>
        <v>156</v>
      </c>
      <c r="BD182" s="50">
        <v>150</v>
      </c>
      <c r="BE182" s="50">
        <f t="shared" si="276"/>
        <v>997.2</v>
      </c>
      <c r="BG182" s="207">
        <v>31.2</v>
      </c>
      <c r="BH182" s="139">
        <v>0</v>
      </c>
      <c r="BI182" s="139">
        <v>0</v>
      </c>
      <c r="BJ182" s="139">
        <v>0</v>
      </c>
      <c r="BK182" s="139">
        <v>0</v>
      </c>
      <c r="BL182" s="139">
        <v>0</v>
      </c>
      <c r="BM182" s="139">
        <v>0</v>
      </c>
      <c r="BN182" s="139">
        <v>0</v>
      </c>
      <c r="BO182" s="139">
        <v>0</v>
      </c>
      <c r="BP182" s="139">
        <v>0</v>
      </c>
      <c r="BQ182" s="139">
        <v>0</v>
      </c>
      <c r="BR182" s="139">
        <v>0</v>
      </c>
      <c r="BS182" s="206">
        <v>150</v>
      </c>
      <c r="BT182" s="205">
        <f t="shared" si="219"/>
        <v>878.40000000000009</v>
      </c>
      <c r="BU182" s="153">
        <f t="shared" si="216"/>
        <v>1296</v>
      </c>
    </row>
    <row r="183" spans="1:73" ht="25.8" thickBot="1" x14ac:dyDescent="0.65">
      <c r="A183" s="53">
        <v>175</v>
      </c>
      <c r="B183" s="143" t="s">
        <v>394</v>
      </c>
      <c r="C183" s="144" t="s">
        <v>164</v>
      </c>
      <c r="D183" s="145">
        <v>44950</v>
      </c>
      <c r="E183" s="146">
        <v>1</v>
      </c>
      <c r="F183" s="146">
        <f t="shared" ref="F183" si="298">+E183*$C$1</f>
        <v>533.33000000000004</v>
      </c>
      <c r="G183" s="146">
        <f t="shared" ref="G183" si="299">+BU183</f>
        <v>480</v>
      </c>
      <c r="H183" s="147">
        <f t="shared" ref="H183" si="300">+F183+G183</f>
        <v>1013.33</v>
      </c>
      <c r="I183" s="148">
        <v>14</v>
      </c>
      <c r="J183" s="81">
        <v>14</v>
      </c>
      <c r="L183" s="149">
        <v>46411</v>
      </c>
      <c r="M183" s="150"/>
      <c r="N183" s="151" t="str">
        <f t="shared" ca="1" si="264"/>
        <v>O.K.</v>
      </c>
      <c r="Z183" s="3" t="s">
        <v>394</v>
      </c>
      <c r="AA183" s="36">
        <v>0</v>
      </c>
      <c r="AB183" s="34">
        <v>0</v>
      </c>
      <c r="AC183" s="35">
        <v>0</v>
      </c>
      <c r="AD183" s="35">
        <v>0</v>
      </c>
      <c r="AE183" s="35">
        <v>0</v>
      </c>
      <c r="AF183" s="24">
        <v>0</v>
      </c>
      <c r="AG183" s="21">
        <f t="shared" si="186"/>
        <v>0</v>
      </c>
      <c r="AH183" s="42">
        <v>0</v>
      </c>
      <c r="AI183" s="42">
        <v>0</v>
      </c>
      <c r="AJ183" s="35">
        <v>0</v>
      </c>
      <c r="AK183" s="17">
        <f t="shared" si="183"/>
        <v>0</v>
      </c>
      <c r="AL183" s="42">
        <v>0</v>
      </c>
      <c r="AM183" s="42">
        <v>0</v>
      </c>
      <c r="AN183" s="35">
        <v>0</v>
      </c>
      <c r="AO183" s="24">
        <f t="shared" si="296"/>
        <v>0</v>
      </c>
      <c r="AP183" s="42">
        <v>0</v>
      </c>
      <c r="AQ183" s="42">
        <v>0</v>
      </c>
      <c r="AR183" s="68">
        <v>0</v>
      </c>
      <c r="AS183" s="71">
        <f t="shared" si="282"/>
        <v>0</v>
      </c>
      <c r="AT183" s="60">
        <f>+(0)+(0)+(0)+(54.6)+(0)+(54)</f>
        <v>108.6</v>
      </c>
      <c r="AU183" s="60">
        <f>+(78)+(0)+(0)+(0)+(0)+(0)</f>
        <v>78</v>
      </c>
      <c r="AV183" s="94">
        <v>120</v>
      </c>
      <c r="AW183" s="71">
        <f t="shared" si="283"/>
        <v>66.599999999999994</v>
      </c>
      <c r="AX183" s="60">
        <f>+(0)+(0)+(108)+(78)</f>
        <v>186</v>
      </c>
      <c r="AY183" s="113">
        <f>+(0)+(78)+(96)+(0)+(0)+(0)+(78)+(0)</f>
        <v>252</v>
      </c>
      <c r="AZ183" s="72">
        <v>120</v>
      </c>
      <c r="BA183" s="72">
        <f t="shared" si="297"/>
        <v>384.6</v>
      </c>
      <c r="BB183" s="135">
        <f t="shared" si="220"/>
        <v>0</v>
      </c>
      <c r="BC183" s="135">
        <f>+(0)+(0)+(0)+(0)+(0)+(0)+(0)+(30)</f>
        <v>30</v>
      </c>
      <c r="BD183" s="50">
        <v>120</v>
      </c>
      <c r="BE183" s="50">
        <f t="shared" si="276"/>
        <v>294.60000000000002</v>
      </c>
      <c r="BG183" s="139">
        <v>0</v>
      </c>
      <c r="BH183" s="139">
        <v>0</v>
      </c>
      <c r="BI183" s="139">
        <v>0</v>
      </c>
      <c r="BJ183" s="139">
        <v>0</v>
      </c>
      <c r="BK183" s="139">
        <v>0</v>
      </c>
      <c r="BL183" s="139">
        <v>0</v>
      </c>
      <c r="BM183" s="139">
        <v>0</v>
      </c>
      <c r="BN183" s="139">
        <v>0</v>
      </c>
      <c r="BO183" s="139">
        <v>0</v>
      </c>
      <c r="BP183" s="139">
        <v>0</v>
      </c>
      <c r="BQ183" s="139">
        <v>0</v>
      </c>
      <c r="BR183" s="139">
        <v>0</v>
      </c>
      <c r="BS183" s="206">
        <v>120</v>
      </c>
      <c r="BT183" s="205">
        <f t="shared" si="219"/>
        <v>174.60000000000002</v>
      </c>
      <c r="BU183" s="153">
        <f t="shared" si="216"/>
        <v>480</v>
      </c>
    </row>
    <row r="184" spans="1:73" ht="25.8" thickBot="1" x14ac:dyDescent="0.65">
      <c r="A184" s="53">
        <v>176</v>
      </c>
      <c r="B184" s="143" t="s">
        <v>341</v>
      </c>
      <c r="C184" s="144" t="s">
        <v>162</v>
      </c>
      <c r="D184" s="145">
        <v>44621</v>
      </c>
      <c r="E184" s="146">
        <v>2</v>
      </c>
      <c r="F184" s="146">
        <f t="shared" si="279"/>
        <v>1066.6600000000001</v>
      </c>
      <c r="G184" s="146">
        <f t="shared" si="280"/>
        <v>510</v>
      </c>
      <c r="H184" s="147">
        <f t="shared" si="281"/>
        <v>1576.66</v>
      </c>
      <c r="I184" s="148">
        <v>13</v>
      </c>
      <c r="J184" s="81">
        <v>13</v>
      </c>
      <c r="K184" s="208" t="s">
        <v>309</v>
      </c>
      <c r="L184" s="149">
        <v>46478</v>
      </c>
      <c r="M184" s="150"/>
      <c r="N184" s="151" t="str">
        <f t="shared" ca="1" si="264"/>
        <v>O.K.</v>
      </c>
      <c r="Z184" s="3" t="s">
        <v>341</v>
      </c>
      <c r="AA184" s="36">
        <v>0</v>
      </c>
      <c r="AB184" s="34">
        <v>0</v>
      </c>
      <c r="AC184" s="35">
        <v>0</v>
      </c>
      <c r="AD184" s="35">
        <v>0</v>
      </c>
      <c r="AE184" s="35">
        <v>0</v>
      </c>
      <c r="AF184" s="24">
        <v>0</v>
      </c>
      <c r="AG184" s="21">
        <f t="shared" si="186"/>
        <v>0</v>
      </c>
      <c r="AH184" s="42">
        <v>0</v>
      </c>
      <c r="AI184" s="42">
        <v>0</v>
      </c>
      <c r="AJ184" s="35">
        <v>0</v>
      </c>
      <c r="AK184" s="17">
        <f t="shared" si="183"/>
        <v>0</v>
      </c>
      <c r="AL184" s="42">
        <v>0</v>
      </c>
      <c r="AM184" s="42">
        <v>0</v>
      </c>
      <c r="AN184" s="35">
        <v>0</v>
      </c>
      <c r="AO184" s="24">
        <f t="shared" si="296"/>
        <v>0</v>
      </c>
      <c r="AP184" s="42">
        <f t="shared" si="184"/>
        <v>0</v>
      </c>
      <c r="AQ184" s="42">
        <f>+(0)+(0)+(0)+(0)+(30)+(0)</f>
        <v>30</v>
      </c>
      <c r="AR184" s="68">
        <v>30</v>
      </c>
      <c r="AS184" s="71">
        <f t="shared" si="282"/>
        <v>0</v>
      </c>
      <c r="AT184" s="60">
        <f>+(0)+(0)+(0)+(78)+(0)+(0)</f>
        <v>78</v>
      </c>
      <c r="AU184" s="60">
        <f>+(0)+(150)+(0)+(0)+(0)+(0)</f>
        <v>150</v>
      </c>
      <c r="AV184" s="94">
        <v>120</v>
      </c>
      <c r="AW184" s="71">
        <f t="shared" ref="AW184" si="301">+AS184+AT184+AU184-AV184</f>
        <v>108</v>
      </c>
      <c r="AX184" s="60">
        <f t="shared" ref="AX184:AX369" si="302">+(0)+(0)+(0)+(0)</f>
        <v>0</v>
      </c>
      <c r="AY184" s="113">
        <f>+(0)+(0)+(96)+(0)+(0)+(0)+(108)+(0)</f>
        <v>204</v>
      </c>
      <c r="AZ184" s="72">
        <v>120</v>
      </c>
      <c r="BA184" s="72">
        <f t="shared" si="297"/>
        <v>192</v>
      </c>
      <c r="BB184" s="135">
        <f>+(0)+(0)+(0)+(54)</f>
        <v>54</v>
      </c>
      <c r="BC184" s="135">
        <f>+(0)+(0)+(0)+(54.6)+(0)+(0)+(0)+(132)</f>
        <v>186.6</v>
      </c>
      <c r="BD184" s="50">
        <v>120</v>
      </c>
      <c r="BE184" s="50">
        <f t="shared" si="276"/>
        <v>312.60000000000002</v>
      </c>
      <c r="BG184" s="207">
        <v>96</v>
      </c>
      <c r="BH184" s="139">
        <v>0</v>
      </c>
      <c r="BI184" s="139">
        <v>0</v>
      </c>
      <c r="BJ184" s="139">
        <v>0</v>
      </c>
      <c r="BK184" s="139">
        <v>0</v>
      </c>
      <c r="BL184" s="139">
        <v>0</v>
      </c>
      <c r="BM184" s="139">
        <v>0</v>
      </c>
      <c r="BN184" s="139">
        <v>0</v>
      </c>
      <c r="BO184" s="139">
        <v>0</v>
      </c>
      <c r="BP184" s="139">
        <v>0</v>
      </c>
      <c r="BQ184" s="139">
        <v>0</v>
      </c>
      <c r="BR184" s="139">
        <v>0</v>
      </c>
      <c r="BS184" s="206">
        <v>120</v>
      </c>
      <c r="BT184" s="205">
        <f t="shared" si="219"/>
        <v>288.60000000000002</v>
      </c>
      <c r="BU184" s="153">
        <f t="shared" si="216"/>
        <v>510</v>
      </c>
    </row>
    <row r="185" spans="1:73" ht="25.8" thickBot="1" x14ac:dyDescent="0.65">
      <c r="A185" s="53">
        <v>177</v>
      </c>
      <c r="B185" s="99" t="s">
        <v>337</v>
      </c>
      <c r="C185" s="100" t="s">
        <v>165</v>
      </c>
      <c r="D185" s="108">
        <v>44256</v>
      </c>
      <c r="E185" s="101">
        <v>2</v>
      </c>
      <c r="F185" s="101">
        <f t="shared" ref="F185:F187" si="303">+E185*$C$1</f>
        <v>1066.6600000000001</v>
      </c>
      <c r="G185" s="101">
        <f t="shared" ref="G185:G186" si="304">+BU185</f>
        <v>750</v>
      </c>
      <c r="H185" s="102">
        <f t="shared" ref="H185:H186" si="305">+F185+G185</f>
        <v>1816.66</v>
      </c>
      <c r="I185" s="103">
        <v>13</v>
      </c>
      <c r="J185" s="81">
        <v>13</v>
      </c>
      <c r="K185" s="208" t="s">
        <v>309</v>
      </c>
      <c r="L185" s="96">
        <v>46188</v>
      </c>
      <c r="M185" s="97"/>
      <c r="N185" s="98" t="str">
        <f t="shared" ca="1" si="264"/>
        <v>O.K.</v>
      </c>
      <c r="Z185" s="3" t="s">
        <v>337</v>
      </c>
      <c r="AA185" s="36">
        <v>0</v>
      </c>
      <c r="AB185" s="34">
        <v>0</v>
      </c>
      <c r="AC185" s="35">
        <v>0</v>
      </c>
      <c r="AD185" s="35">
        <v>0</v>
      </c>
      <c r="AE185" s="35">
        <v>0</v>
      </c>
      <c r="AF185" s="24">
        <v>0</v>
      </c>
      <c r="AG185" s="21">
        <f t="shared" si="186"/>
        <v>0</v>
      </c>
      <c r="AH185" s="42">
        <v>0</v>
      </c>
      <c r="AI185" s="42">
        <v>0</v>
      </c>
      <c r="AJ185" s="35">
        <v>0</v>
      </c>
      <c r="AK185" s="17">
        <f t="shared" si="183"/>
        <v>0</v>
      </c>
      <c r="AL185" s="42">
        <f t="shared" si="201"/>
        <v>0</v>
      </c>
      <c r="AM185" s="42">
        <f t="shared" si="201"/>
        <v>0</v>
      </c>
      <c r="AN185" s="35">
        <v>0</v>
      </c>
      <c r="AO185" s="24">
        <f t="shared" si="296"/>
        <v>0</v>
      </c>
      <c r="AP185" s="42">
        <f t="shared" si="184"/>
        <v>0</v>
      </c>
      <c r="AQ185" s="42">
        <f>+(0)+(0)+(343.8)+(0)+(108)+(192)</f>
        <v>643.79999999999995</v>
      </c>
      <c r="AR185" s="68">
        <v>150</v>
      </c>
      <c r="AS185" s="71">
        <f t="shared" si="282"/>
        <v>493.79999999999995</v>
      </c>
      <c r="AT185" s="60">
        <f>+(0)+(0)+(0)+(0)+(54)+(0)</f>
        <v>54</v>
      </c>
      <c r="AU185" s="60">
        <f>+(0)+(120)+(0)+(0)+(0)+(0)</f>
        <v>120</v>
      </c>
      <c r="AV185" s="94">
        <v>150</v>
      </c>
      <c r="AW185" s="71">
        <f t="shared" si="283"/>
        <v>517.79999999999995</v>
      </c>
      <c r="AX185" s="60">
        <f t="shared" si="302"/>
        <v>0</v>
      </c>
      <c r="AY185" s="113">
        <f>+(120)+(0)+(0)+(0)+(0)+(0)+(0)+(108.6)</f>
        <v>228.6</v>
      </c>
      <c r="AZ185" s="71">
        <v>150</v>
      </c>
      <c r="BA185" s="71">
        <f t="shared" si="297"/>
        <v>596.4</v>
      </c>
      <c r="BB185" s="135">
        <f t="shared" si="220"/>
        <v>0</v>
      </c>
      <c r="BC185" s="135">
        <f>+(0)+(0)+(96)+(0)+(0)+(0)+(0)+(0)</f>
        <v>96</v>
      </c>
      <c r="BD185" s="50">
        <v>150</v>
      </c>
      <c r="BE185" s="50">
        <f t="shared" si="276"/>
        <v>542.4</v>
      </c>
      <c r="BG185" s="139">
        <v>0</v>
      </c>
      <c r="BH185" s="139">
        <v>0</v>
      </c>
      <c r="BI185" s="139">
        <v>0</v>
      </c>
      <c r="BJ185" s="139">
        <v>0</v>
      </c>
      <c r="BK185" s="139">
        <v>0</v>
      </c>
      <c r="BL185" s="139">
        <v>0</v>
      </c>
      <c r="BM185" s="139">
        <v>0</v>
      </c>
      <c r="BN185" s="139">
        <v>0</v>
      </c>
      <c r="BO185" s="139">
        <v>0</v>
      </c>
      <c r="BP185" s="139">
        <v>0</v>
      </c>
      <c r="BQ185" s="139">
        <v>0</v>
      </c>
      <c r="BR185" s="139">
        <v>0</v>
      </c>
      <c r="BS185" s="206">
        <v>150</v>
      </c>
      <c r="BT185" s="205">
        <f t="shared" si="219"/>
        <v>392.4</v>
      </c>
      <c r="BU185" s="153">
        <f t="shared" si="216"/>
        <v>750</v>
      </c>
    </row>
    <row r="186" spans="1:73" ht="25.8" thickBot="1" x14ac:dyDescent="0.65">
      <c r="A186" s="53">
        <v>178</v>
      </c>
      <c r="B186" s="99" t="s">
        <v>352</v>
      </c>
      <c r="C186" s="100" t="s">
        <v>165</v>
      </c>
      <c r="D186" s="108">
        <v>44285</v>
      </c>
      <c r="E186" s="101">
        <v>2</v>
      </c>
      <c r="F186" s="101">
        <f t="shared" si="303"/>
        <v>1066.6600000000001</v>
      </c>
      <c r="G186" s="101">
        <f t="shared" si="304"/>
        <v>900</v>
      </c>
      <c r="H186" s="102">
        <f t="shared" si="305"/>
        <v>1966.66</v>
      </c>
      <c r="I186" s="103">
        <v>13</v>
      </c>
      <c r="J186" s="81">
        <v>13</v>
      </c>
      <c r="L186" s="96">
        <v>46202</v>
      </c>
      <c r="M186" s="97"/>
      <c r="N186" s="98" t="str">
        <f t="shared" ca="1" si="264"/>
        <v>O.K.</v>
      </c>
      <c r="Z186" s="3" t="s">
        <v>352</v>
      </c>
      <c r="AA186" s="36">
        <v>0</v>
      </c>
      <c r="AB186" s="34">
        <v>0</v>
      </c>
      <c r="AC186" s="35">
        <v>0</v>
      </c>
      <c r="AD186" s="35">
        <v>0</v>
      </c>
      <c r="AE186" s="35">
        <v>0</v>
      </c>
      <c r="AF186" s="24">
        <v>0</v>
      </c>
      <c r="AG186" s="21">
        <f t="shared" si="186"/>
        <v>0</v>
      </c>
      <c r="AH186" s="42">
        <v>0</v>
      </c>
      <c r="AI186" s="42">
        <v>0</v>
      </c>
      <c r="AJ186" s="35">
        <v>0</v>
      </c>
      <c r="AK186" s="17">
        <f t="shared" si="183"/>
        <v>0</v>
      </c>
      <c r="AL186" s="42">
        <f t="shared" si="201"/>
        <v>0</v>
      </c>
      <c r="AM186" s="42">
        <f>+(0)+(208.2)+(0)+(0)+(0)+(0)</f>
        <v>208.2</v>
      </c>
      <c r="AN186" s="35">
        <v>150</v>
      </c>
      <c r="AO186" s="24">
        <f t="shared" si="296"/>
        <v>58.199999999999989</v>
      </c>
      <c r="AP186" s="42">
        <f>+(0)+(249.6)+(78)+(0)+(0)+(0)</f>
        <v>327.60000000000002</v>
      </c>
      <c r="AQ186" s="42">
        <f>+(0)+(78)+(0)+(0)+(0)+(96)</f>
        <v>174</v>
      </c>
      <c r="AR186" s="68">
        <v>150</v>
      </c>
      <c r="AS186" s="71">
        <f t="shared" si="282"/>
        <v>409.79999999999995</v>
      </c>
      <c r="AT186" s="60">
        <f>+(108)+(0)+(0)+(0)+(54)+(0)</f>
        <v>162</v>
      </c>
      <c r="AU186" s="60">
        <f>+(0)+(228)+(0)+(0)+(0)+(0)</f>
        <v>228</v>
      </c>
      <c r="AV186" s="94">
        <v>150</v>
      </c>
      <c r="AW186" s="71">
        <f t="shared" si="283"/>
        <v>649.79999999999995</v>
      </c>
      <c r="AX186" s="60">
        <f>+(0)+(240)+(0)+(165)</f>
        <v>405</v>
      </c>
      <c r="AY186" s="113">
        <f>+(0)+(0)+(0)+(0)+(0)+(0)+(78)+(30)</f>
        <v>108</v>
      </c>
      <c r="AZ186" s="71">
        <v>150</v>
      </c>
      <c r="BA186" s="71">
        <f t="shared" si="297"/>
        <v>1012.8</v>
      </c>
      <c r="BB186" s="135">
        <f>+(0)+(0)+(0)+(78)</f>
        <v>78</v>
      </c>
      <c r="BC186" s="135">
        <f>+(0)+(30)+(174)+(0)+(0)+(0)+(0)+(0)</f>
        <v>204</v>
      </c>
      <c r="BD186" s="50">
        <v>150</v>
      </c>
      <c r="BE186" s="50">
        <f t="shared" si="276"/>
        <v>1144.8</v>
      </c>
      <c r="BG186" s="139">
        <v>0</v>
      </c>
      <c r="BH186" s="207">
        <v>75.599999999999994</v>
      </c>
      <c r="BI186" s="139">
        <v>0</v>
      </c>
      <c r="BJ186" s="139">
        <v>0</v>
      </c>
      <c r="BK186" s="139">
        <v>0</v>
      </c>
      <c r="BL186" s="139">
        <v>0</v>
      </c>
      <c r="BM186" s="139">
        <v>0</v>
      </c>
      <c r="BN186" s="139">
        <v>0</v>
      </c>
      <c r="BO186" s="139">
        <v>0</v>
      </c>
      <c r="BP186" s="139">
        <v>0</v>
      </c>
      <c r="BQ186" s="139">
        <v>0</v>
      </c>
      <c r="BR186" s="139">
        <v>0</v>
      </c>
      <c r="BS186" s="206">
        <v>150</v>
      </c>
      <c r="BT186" s="205">
        <f t="shared" si="219"/>
        <v>1070.3999999999999</v>
      </c>
      <c r="BU186" s="153">
        <f t="shared" si="216"/>
        <v>900</v>
      </c>
    </row>
    <row r="187" spans="1:73" ht="25.8" thickBot="1" x14ac:dyDescent="0.65">
      <c r="A187" s="53">
        <v>179</v>
      </c>
      <c r="B187" s="99" t="s">
        <v>470</v>
      </c>
      <c r="C187" s="100" t="s">
        <v>354</v>
      </c>
      <c r="D187" s="108">
        <v>45581</v>
      </c>
      <c r="E187" s="101">
        <v>0</v>
      </c>
      <c r="F187" s="101">
        <f t="shared" si="303"/>
        <v>0</v>
      </c>
      <c r="G187" s="101">
        <f t="shared" ref="G187" si="306">+BU187</f>
        <v>0</v>
      </c>
      <c r="H187" s="102">
        <f t="shared" ref="H187" si="307">+F187+G187</f>
        <v>0</v>
      </c>
      <c r="I187" s="103">
        <v>15</v>
      </c>
      <c r="J187" s="81">
        <v>15</v>
      </c>
      <c r="L187" s="96">
        <v>46311</v>
      </c>
      <c r="M187" s="97"/>
      <c r="N187" s="98" t="str">
        <f t="shared" ca="1" si="264"/>
        <v>O.K.</v>
      </c>
      <c r="Z187" s="3" t="s">
        <v>470</v>
      </c>
      <c r="AA187" s="36"/>
      <c r="AB187" s="34"/>
      <c r="AC187" s="35"/>
      <c r="AD187" s="35"/>
      <c r="AE187" s="35"/>
      <c r="AF187" s="24"/>
      <c r="AG187" s="21"/>
      <c r="AH187" s="42"/>
      <c r="AI187" s="42"/>
      <c r="AJ187" s="35"/>
      <c r="AK187" s="17"/>
      <c r="AL187" s="42"/>
      <c r="AM187" s="42"/>
      <c r="AN187" s="35"/>
      <c r="AO187" s="24"/>
      <c r="AP187" s="42"/>
      <c r="AQ187" s="42"/>
      <c r="AR187" s="68"/>
      <c r="AS187" s="71"/>
      <c r="AT187" s="60"/>
      <c r="AU187" s="60"/>
      <c r="AV187" s="94"/>
      <c r="AW187" s="71"/>
      <c r="AX187" s="60"/>
      <c r="AY187" s="113"/>
      <c r="AZ187" s="71"/>
      <c r="BA187" s="71"/>
      <c r="BB187" s="135">
        <f t="shared" si="220"/>
        <v>0</v>
      </c>
      <c r="BC187" s="135">
        <f t="shared" si="217"/>
        <v>0</v>
      </c>
      <c r="BD187" s="50">
        <v>0</v>
      </c>
      <c r="BE187" s="50">
        <f t="shared" ref="BE187" si="308">(BA187+BB187+BC187)-BD187</f>
        <v>0</v>
      </c>
      <c r="BG187" s="139">
        <v>0</v>
      </c>
      <c r="BH187" s="139">
        <v>0</v>
      </c>
      <c r="BI187" s="139">
        <v>0</v>
      </c>
      <c r="BJ187" s="139">
        <v>0</v>
      </c>
      <c r="BK187" s="139">
        <v>0</v>
      </c>
      <c r="BL187" s="139">
        <v>0</v>
      </c>
      <c r="BM187" s="139">
        <v>0</v>
      </c>
      <c r="BN187" s="139">
        <v>0</v>
      </c>
      <c r="BO187" s="139">
        <v>0</v>
      </c>
      <c r="BP187" s="139">
        <v>0</v>
      </c>
      <c r="BQ187" s="139">
        <v>0</v>
      </c>
      <c r="BR187" s="139">
        <v>0</v>
      </c>
      <c r="BS187" s="206">
        <v>0</v>
      </c>
      <c r="BT187" s="205">
        <f t="shared" si="219"/>
        <v>0</v>
      </c>
      <c r="BU187" s="153">
        <f t="shared" si="216"/>
        <v>0</v>
      </c>
    </row>
    <row r="188" spans="1:73" ht="25.8" thickBot="1" x14ac:dyDescent="0.65">
      <c r="A188" s="53">
        <v>180</v>
      </c>
      <c r="B188" s="83" t="s">
        <v>78</v>
      </c>
      <c r="C188" s="84" t="s">
        <v>168</v>
      </c>
      <c r="D188" s="83" t="s">
        <v>151</v>
      </c>
      <c r="E188" s="85">
        <v>15</v>
      </c>
      <c r="F188" s="85">
        <f t="shared" si="279"/>
        <v>7999.9500000000007</v>
      </c>
      <c r="G188" s="85">
        <f t="shared" si="280"/>
        <v>3413</v>
      </c>
      <c r="H188" s="86">
        <f t="shared" si="281"/>
        <v>11412.95</v>
      </c>
      <c r="I188" s="87">
        <v>1</v>
      </c>
      <c r="J188" s="81">
        <v>1</v>
      </c>
      <c r="L188" s="88"/>
      <c r="M188" s="89"/>
      <c r="N188" s="90" t="s">
        <v>171</v>
      </c>
      <c r="Z188" s="3" t="s">
        <v>78</v>
      </c>
      <c r="AA188" s="36">
        <v>2093</v>
      </c>
      <c r="AB188" s="34">
        <v>120</v>
      </c>
      <c r="AC188" s="35">
        <v>120</v>
      </c>
      <c r="AD188" s="35">
        <v>120</v>
      </c>
      <c r="AE188" s="35">
        <v>120</v>
      </c>
      <c r="AF188" s="24">
        <v>234</v>
      </c>
      <c r="AG188" s="21">
        <f t="shared" si="186"/>
        <v>114</v>
      </c>
      <c r="AH188" s="42">
        <f>156+67.2</f>
        <v>223.2</v>
      </c>
      <c r="AI188" s="42">
        <f>+(0)+(0)+(0)+(0)+(54)+(54)</f>
        <v>108</v>
      </c>
      <c r="AJ188" s="35">
        <v>120</v>
      </c>
      <c r="AK188" s="17">
        <f t="shared" ref="AK188:AK213" si="309">+AG188+(AH188+AI188)-AJ188</f>
        <v>325.2</v>
      </c>
      <c r="AL188" s="42">
        <f t="shared" si="201"/>
        <v>0</v>
      </c>
      <c r="AM188" s="42">
        <f>+(78)+(0)+(0)+(0)+(0)+(0)</f>
        <v>78</v>
      </c>
      <c r="AN188" s="35">
        <v>120</v>
      </c>
      <c r="AO188" s="24">
        <f t="shared" si="296"/>
        <v>283.2</v>
      </c>
      <c r="AP188" s="42">
        <f t="shared" ref="AP188:AQ386" si="310">+(0)+(0)+(0)+(0)+(0)+(0)</f>
        <v>0</v>
      </c>
      <c r="AQ188" s="42">
        <f>+(0)+(0)+(0)+(0)+(0)+(108)</f>
        <v>108</v>
      </c>
      <c r="AR188" s="68">
        <v>120</v>
      </c>
      <c r="AS188" s="71">
        <f t="shared" si="282"/>
        <v>271.2</v>
      </c>
      <c r="AT188" s="60">
        <f>+(0)+(0)+(0)+(0)+(54)+(0)</f>
        <v>54</v>
      </c>
      <c r="AU188" s="60">
        <f t="shared" ref="AT188:AU369" si="311">+(0)+(0)+(0)+(0)+(0)+(0)</f>
        <v>0</v>
      </c>
      <c r="AV188" s="94">
        <v>120</v>
      </c>
      <c r="AW188" s="71">
        <f t="shared" si="283"/>
        <v>205.2</v>
      </c>
      <c r="AX188" s="60">
        <f t="shared" si="302"/>
        <v>0</v>
      </c>
      <c r="AY188" s="113">
        <f>+(0)+(75.6)+(0)+(0)+(0)+(108)+(78)+(0)</f>
        <v>261.60000000000002</v>
      </c>
      <c r="AZ188" s="72">
        <v>120</v>
      </c>
      <c r="BA188" s="72">
        <f t="shared" si="297"/>
        <v>346.8</v>
      </c>
      <c r="BB188" s="135">
        <f t="shared" si="220"/>
        <v>0</v>
      </c>
      <c r="BC188" s="135">
        <f>+(0)+(0)+(0)+(78)+(0)+(0)+(0)+(0)</f>
        <v>78</v>
      </c>
      <c r="BD188" s="50">
        <v>120</v>
      </c>
      <c r="BE188" s="50">
        <f t="shared" si="276"/>
        <v>304.8</v>
      </c>
      <c r="BG188" s="139">
        <v>0</v>
      </c>
      <c r="BH188" s="207">
        <v>108</v>
      </c>
      <c r="BI188" s="139">
        <v>0</v>
      </c>
      <c r="BJ188" s="139">
        <v>0</v>
      </c>
      <c r="BK188" s="139">
        <v>0</v>
      </c>
      <c r="BL188" s="139">
        <v>0</v>
      </c>
      <c r="BM188" s="139">
        <v>0</v>
      </c>
      <c r="BN188" s="139">
        <v>0</v>
      </c>
      <c r="BO188" s="139">
        <v>0</v>
      </c>
      <c r="BP188" s="139">
        <v>0</v>
      </c>
      <c r="BQ188" s="139">
        <v>0</v>
      </c>
      <c r="BR188" s="139">
        <v>0</v>
      </c>
      <c r="BS188" s="206">
        <v>120</v>
      </c>
      <c r="BT188" s="205">
        <f t="shared" si="219"/>
        <v>292.8</v>
      </c>
      <c r="BU188" s="153">
        <f t="shared" si="216"/>
        <v>3413</v>
      </c>
    </row>
    <row r="189" spans="1:73" ht="25.8" thickBot="1" x14ac:dyDescent="0.65">
      <c r="A189" s="53">
        <v>181</v>
      </c>
      <c r="B189" s="99" t="s">
        <v>465</v>
      </c>
      <c r="C189" s="100" t="s">
        <v>168</v>
      </c>
      <c r="D189" s="108">
        <v>45540</v>
      </c>
      <c r="E189" s="101">
        <v>1</v>
      </c>
      <c r="F189" s="101">
        <f t="shared" ref="F189" si="312">+E189*$C$1</f>
        <v>533.33000000000004</v>
      </c>
      <c r="G189" s="101">
        <f t="shared" ref="G189" si="313">+BU189</f>
        <v>321</v>
      </c>
      <c r="H189" s="102">
        <f t="shared" ref="H189" si="314">+F189+G189</f>
        <v>854.33</v>
      </c>
      <c r="I189" s="103">
        <v>14</v>
      </c>
      <c r="J189" s="81">
        <v>14</v>
      </c>
      <c r="K189" s="199" t="s">
        <v>309</v>
      </c>
      <c r="L189" s="96">
        <v>46174</v>
      </c>
      <c r="M189" s="97"/>
      <c r="N189" s="98" t="str">
        <f t="shared" ref="N189:N198" ca="1" si="315">IF($B$2&lt;L189,"O.K.","A L E R T A ")</f>
        <v>O.K.</v>
      </c>
      <c r="Z189" s="3" t="s">
        <v>465</v>
      </c>
      <c r="AA189" s="49">
        <v>115.8</v>
      </c>
      <c r="AB189" s="34"/>
      <c r="AC189" s="35"/>
      <c r="AD189" s="35"/>
      <c r="AE189" s="35"/>
      <c r="AF189" s="24"/>
      <c r="AG189" s="21"/>
      <c r="AH189" s="42"/>
      <c r="AI189" s="42"/>
      <c r="AJ189" s="35"/>
      <c r="AK189" s="17"/>
      <c r="AL189" s="42"/>
      <c r="AM189" s="42"/>
      <c r="AN189" s="35"/>
      <c r="AO189" s="24"/>
      <c r="AP189" s="42"/>
      <c r="AQ189" s="42"/>
      <c r="AR189" s="68"/>
      <c r="AS189" s="71"/>
      <c r="AT189" s="60"/>
      <c r="AU189" s="60"/>
      <c r="AV189" s="94"/>
      <c r="AW189" s="71"/>
      <c r="AX189" s="60"/>
      <c r="AY189" s="113"/>
      <c r="AZ189" s="72"/>
      <c r="BA189" s="72"/>
      <c r="BB189" s="135">
        <f t="shared" si="220"/>
        <v>0</v>
      </c>
      <c r="BC189" s="135">
        <f>+(67.2)+(30)+(0)+(0)+(0)+(0)+(0)+(30)</f>
        <v>127.2</v>
      </c>
      <c r="BD189" s="50">
        <v>120</v>
      </c>
      <c r="BE189" s="50">
        <f t="shared" ref="BE189" si="316">(BA189+BB189+BC189)-BD189</f>
        <v>7.2000000000000028</v>
      </c>
      <c r="BG189" s="139">
        <v>0</v>
      </c>
      <c r="BH189" s="207">
        <v>78</v>
      </c>
      <c r="BI189" s="139">
        <v>0</v>
      </c>
      <c r="BJ189" s="139">
        <v>0</v>
      </c>
      <c r="BK189" s="139">
        <v>0</v>
      </c>
      <c r="BL189" s="139">
        <v>0</v>
      </c>
      <c r="BM189" s="139">
        <v>0</v>
      </c>
      <c r="BN189" s="139">
        <v>0</v>
      </c>
      <c r="BO189" s="139">
        <v>0</v>
      </c>
      <c r="BP189" s="139">
        <v>0</v>
      </c>
      <c r="BQ189" s="139">
        <v>0</v>
      </c>
      <c r="BR189" s="139">
        <v>0</v>
      </c>
      <c r="BS189" s="206">
        <v>85.2</v>
      </c>
      <c r="BT189" s="205">
        <f t="shared" si="219"/>
        <v>0</v>
      </c>
      <c r="BU189" s="153">
        <f t="shared" si="216"/>
        <v>321</v>
      </c>
    </row>
    <row r="190" spans="1:73" ht="25.8" thickBot="1" x14ac:dyDescent="0.65">
      <c r="A190" s="53">
        <v>182</v>
      </c>
      <c r="B190" s="99" t="s">
        <v>463</v>
      </c>
      <c r="C190" s="100" t="s">
        <v>168</v>
      </c>
      <c r="D190" s="108">
        <v>45518</v>
      </c>
      <c r="E190" s="101">
        <v>0</v>
      </c>
      <c r="F190" s="101">
        <f t="shared" ref="F190" si="317">+E190*$C$1</f>
        <v>0</v>
      </c>
      <c r="G190" s="101">
        <f t="shared" ref="G190" si="318">+BU190</f>
        <v>187.2</v>
      </c>
      <c r="H190" s="102">
        <f t="shared" ref="H190" si="319">+F190+G190</f>
        <v>187.2</v>
      </c>
      <c r="I190" s="103">
        <v>15</v>
      </c>
      <c r="J190" s="81">
        <v>15</v>
      </c>
      <c r="L190" s="96">
        <v>46248</v>
      </c>
      <c r="M190" s="97"/>
      <c r="N190" s="98" t="str">
        <f t="shared" ca="1" si="315"/>
        <v>O.K.</v>
      </c>
      <c r="Z190" s="3" t="s">
        <v>463</v>
      </c>
      <c r="AA190" s="36"/>
      <c r="AB190" s="34"/>
      <c r="AC190" s="35"/>
      <c r="AD190" s="35"/>
      <c r="AE190" s="35"/>
      <c r="AF190" s="24"/>
      <c r="AG190" s="21"/>
      <c r="AH190" s="42"/>
      <c r="AI190" s="42"/>
      <c r="AJ190" s="35"/>
      <c r="AK190" s="17"/>
      <c r="AL190" s="42"/>
      <c r="AM190" s="42"/>
      <c r="AN190" s="35"/>
      <c r="AO190" s="24"/>
      <c r="AP190" s="42"/>
      <c r="AQ190" s="42"/>
      <c r="AR190" s="68"/>
      <c r="AS190" s="71"/>
      <c r="AT190" s="60"/>
      <c r="AU190" s="60"/>
      <c r="AV190" s="94"/>
      <c r="AW190" s="71"/>
      <c r="AX190" s="60">
        <f t="shared" si="302"/>
        <v>0</v>
      </c>
      <c r="AY190" s="113">
        <f t="shared" si="252"/>
        <v>0</v>
      </c>
      <c r="AZ190" s="72">
        <v>0</v>
      </c>
      <c r="BA190" s="72">
        <f t="shared" ref="BA190" si="320">(+AW190+AX190+AY190)-AZ190</f>
        <v>0</v>
      </c>
      <c r="BB190" s="135">
        <f t="shared" si="220"/>
        <v>0</v>
      </c>
      <c r="BC190" s="135">
        <f>+(0)+(0)+(0)+(0)+(0)+(0)+(0)+(187.2)</f>
        <v>187.2</v>
      </c>
      <c r="BD190" s="50">
        <v>120</v>
      </c>
      <c r="BE190" s="50">
        <f t="shared" si="276"/>
        <v>67.199999999999989</v>
      </c>
      <c r="BG190" s="139">
        <v>0</v>
      </c>
      <c r="BH190" s="139">
        <v>0</v>
      </c>
      <c r="BI190" s="139">
        <v>0</v>
      </c>
      <c r="BJ190" s="139">
        <v>0</v>
      </c>
      <c r="BK190" s="139">
        <v>0</v>
      </c>
      <c r="BL190" s="139">
        <v>0</v>
      </c>
      <c r="BM190" s="139">
        <v>0</v>
      </c>
      <c r="BN190" s="139">
        <v>0</v>
      </c>
      <c r="BO190" s="139">
        <v>0</v>
      </c>
      <c r="BP190" s="139">
        <v>0</v>
      </c>
      <c r="BQ190" s="139">
        <v>0</v>
      </c>
      <c r="BR190" s="139">
        <v>0</v>
      </c>
      <c r="BS190" s="206">
        <v>67.2</v>
      </c>
      <c r="BT190" s="205">
        <f t="shared" si="219"/>
        <v>0</v>
      </c>
      <c r="BU190" s="153">
        <f t="shared" si="216"/>
        <v>187.2</v>
      </c>
    </row>
    <row r="191" spans="1:73" ht="25.8" thickBot="1" x14ac:dyDescent="0.65">
      <c r="A191" s="53">
        <v>183</v>
      </c>
      <c r="B191" s="143" t="s">
        <v>287</v>
      </c>
      <c r="C191" s="144" t="s">
        <v>165</v>
      </c>
      <c r="D191" s="145">
        <v>43466</v>
      </c>
      <c r="E191" s="146">
        <v>3</v>
      </c>
      <c r="F191" s="146">
        <f t="shared" si="279"/>
        <v>1599.9900000000002</v>
      </c>
      <c r="G191" s="146">
        <f t="shared" si="280"/>
        <v>1200</v>
      </c>
      <c r="H191" s="147">
        <f t="shared" si="281"/>
        <v>2799.9900000000002</v>
      </c>
      <c r="I191" s="148">
        <v>12</v>
      </c>
      <c r="J191" s="81">
        <v>12</v>
      </c>
      <c r="L191" s="149">
        <v>46388</v>
      </c>
      <c r="M191" s="150"/>
      <c r="N191" s="151" t="str">
        <f t="shared" ca="1" si="315"/>
        <v>O.K.</v>
      </c>
      <c r="Z191" s="3" t="s">
        <v>287</v>
      </c>
      <c r="AA191" s="36">
        <v>0</v>
      </c>
      <c r="AB191" s="34">
        <v>0</v>
      </c>
      <c r="AC191" s="35">
        <v>0</v>
      </c>
      <c r="AD191" s="35">
        <v>0</v>
      </c>
      <c r="AE191" s="35">
        <v>150</v>
      </c>
      <c r="AF191" s="24">
        <v>156</v>
      </c>
      <c r="AG191" s="21">
        <f t="shared" si="186"/>
        <v>6</v>
      </c>
      <c r="AH191" s="42">
        <f>156+67.2</f>
        <v>223.2</v>
      </c>
      <c r="AI191" s="42">
        <f>+(0)+(54)+(0)+(0)+(54)+(162)</f>
        <v>270</v>
      </c>
      <c r="AJ191" s="35">
        <v>150</v>
      </c>
      <c r="AK191" s="17">
        <f t="shared" si="309"/>
        <v>349.2</v>
      </c>
      <c r="AL191" s="42">
        <f t="shared" si="201"/>
        <v>0</v>
      </c>
      <c r="AM191" s="42">
        <f>+(0)+(132.6)+(108)+(0)+(0)+(0)</f>
        <v>240.6</v>
      </c>
      <c r="AN191" s="35">
        <v>150</v>
      </c>
      <c r="AO191" s="24">
        <f t="shared" si="296"/>
        <v>439.79999999999995</v>
      </c>
      <c r="AP191" s="42">
        <f t="shared" si="310"/>
        <v>0</v>
      </c>
      <c r="AQ191" s="42">
        <f>+(0)+(0)+(0)+(0)+(0)+(192)</f>
        <v>192</v>
      </c>
      <c r="AR191" s="68">
        <v>150</v>
      </c>
      <c r="AS191" s="71">
        <f t="shared" si="282"/>
        <v>481.79999999999995</v>
      </c>
      <c r="AT191" s="60">
        <f>+(0)+(0)+(0)+(217.2)+(54)+(0)</f>
        <v>271.2</v>
      </c>
      <c r="AU191" s="60">
        <f t="shared" si="311"/>
        <v>0</v>
      </c>
      <c r="AV191" s="94">
        <v>150</v>
      </c>
      <c r="AW191" s="71">
        <f t="shared" si="283"/>
        <v>603</v>
      </c>
      <c r="AX191" s="60">
        <f>+(0)+(0)+(0)+(192)</f>
        <v>192</v>
      </c>
      <c r="AY191" s="113">
        <f>+(0)+(0)+(0)+(0)+(0)+(0)+(0)+(84)</f>
        <v>84</v>
      </c>
      <c r="AZ191" s="71">
        <v>150</v>
      </c>
      <c r="BA191" s="71">
        <f t="shared" si="297"/>
        <v>729</v>
      </c>
      <c r="BB191" s="135">
        <f t="shared" si="220"/>
        <v>0</v>
      </c>
      <c r="BC191" s="135">
        <f>+(0)+(96)+(67.2)+(0)+(0)+(0)+(0)+(0)</f>
        <v>163.19999999999999</v>
      </c>
      <c r="BD191" s="50">
        <v>150</v>
      </c>
      <c r="BE191" s="50">
        <f t="shared" si="276"/>
        <v>742.2</v>
      </c>
      <c r="BG191" s="207">
        <v>54.6</v>
      </c>
      <c r="BH191" s="139">
        <v>0</v>
      </c>
      <c r="BI191" s="139">
        <v>0</v>
      </c>
      <c r="BJ191" s="139">
        <v>0</v>
      </c>
      <c r="BK191" s="139">
        <v>0</v>
      </c>
      <c r="BL191" s="139">
        <v>0</v>
      </c>
      <c r="BM191" s="139">
        <v>0</v>
      </c>
      <c r="BN191" s="139">
        <v>0</v>
      </c>
      <c r="BO191" s="139">
        <v>0</v>
      </c>
      <c r="BP191" s="139">
        <v>0</v>
      </c>
      <c r="BQ191" s="139">
        <v>0</v>
      </c>
      <c r="BR191" s="139">
        <v>0</v>
      </c>
      <c r="BS191" s="206">
        <v>150</v>
      </c>
      <c r="BT191" s="205">
        <f t="shared" si="219"/>
        <v>646.80000000000007</v>
      </c>
      <c r="BU191" s="153">
        <f t="shared" si="216"/>
        <v>1200</v>
      </c>
    </row>
    <row r="192" spans="1:73" ht="25.8" thickBot="1" x14ac:dyDescent="0.65">
      <c r="A192" s="53">
        <v>184</v>
      </c>
      <c r="B192" s="99" t="s">
        <v>409</v>
      </c>
      <c r="C192" s="100" t="s">
        <v>165</v>
      </c>
      <c r="D192" s="108">
        <v>45099</v>
      </c>
      <c r="E192" s="101">
        <v>2</v>
      </c>
      <c r="F192" s="101">
        <f t="shared" ref="F192" si="321">+E192*$C$1</f>
        <v>1066.6600000000001</v>
      </c>
      <c r="G192" s="101">
        <f t="shared" ref="G192" si="322">+BU192</f>
        <v>1600.8</v>
      </c>
      <c r="H192" s="102">
        <f t="shared" ref="H192" si="323">+F192+G192</f>
        <v>2667.46</v>
      </c>
      <c r="I192" s="103">
        <v>12</v>
      </c>
      <c r="J192" s="81">
        <v>12</v>
      </c>
      <c r="L192" s="96">
        <v>46094</v>
      </c>
      <c r="M192" s="97"/>
      <c r="N192" s="98" t="str">
        <f t="shared" ca="1" si="315"/>
        <v>O.K.</v>
      </c>
      <c r="Z192" s="3" t="s">
        <v>409</v>
      </c>
      <c r="AA192" s="49">
        <v>1150.8</v>
      </c>
      <c r="AB192" s="34">
        <v>0</v>
      </c>
      <c r="AC192" s="35">
        <v>0</v>
      </c>
      <c r="AD192" s="35">
        <v>0</v>
      </c>
      <c r="AE192" s="35">
        <v>0</v>
      </c>
      <c r="AF192" s="24">
        <v>0</v>
      </c>
      <c r="AG192" s="21">
        <f t="shared" si="186"/>
        <v>0</v>
      </c>
      <c r="AH192" s="42">
        <v>0</v>
      </c>
      <c r="AI192" s="42">
        <v>0</v>
      </c>
      <c r="AJ192" s="35">
        <v>0</v>
      </c>
      <c r="AK192" s="17">
        <f t="shared" si="309"/>
        <v>0</v>
      </c>
      <c r="AL192" s="42">
        <v>0</v>
      </c>
      <c r="AM192" s="42">
        <v>0</v>
      </c>
      <c r="AN192" s="35">
        <v>0</v>
      </c>
      <c r="AO192" s="24">
        <f t="shared" si="296"/>
        <v>0</v>
      </c>
      <c r="AP192" s="42">
        <v>0</v>
      </c>
      <c r="AQ192" s="42">
        <v>0</v>
      </c>
      <c r="AR192" s="68">
        <v>0</v>
      </c>
      <c r="AS192" s="71">
        <f t="shared" si="282"/>
        <v>0</v>
      </c>
      <c r="AT192" s="60">
        <f t="shared" si="311"/>
        <v>0</v>
      </c>
      <c r="AU192" s="60">
        <f t="shared" si="311"/>
        <v>0</v>
      </c>
      <c r="AV192" s="94">
        <v>0</v>
      </c>
      <c r="AW192" s="71">
        <f t="shared" si="283"/>
        <v>0</v>
      </c>
      <c r="AX192" s="60">
        <f>+(0)+(0)+(0)+(132.6)</f>
        <v>132.6</v>
      </c>
      <c r="AY192" s="113">
        <f>+(0)+(0)+(96)+(0)+(0)+(0)+(0)+(0)</f>
        <v>96</v>
      </c>
      <c r="AZ192" s="72">
        <v>150</v>
      </c>
      <c r="BA192" s="72">
        <f t="shared" si="297"/>
        <v>78.599999999999994</v>
      </c>
      <c r="BB192" s="135">
        <f>+(0)+(0)+(0)+(78)</f>
        <v>78</v>
      </c>
      <c r="BC192" s="135">
        <f>+(0)+(0)+(156)+(0)+(0)+(0)+(0)+(0)</f>
        <v>156</v>
      </c>
      <c r="BD192" s="50">
        <v>150</v>
      </c>
      <c r="BE192" s="50">
        <f t="shared" si="276"/>
        <v>162.60000000000002</v>
      </c>
      <c r="BG192" s="139">
        <v>0</v>
      </c>
      <c r="BH192" s="139">
        <v>0</v>
      </c>
      <c r="BI192" s="139">
        <v>0</v>
      </c>
      <c r="BJ192" s="139">
        <v>0</v>
      </c>
      <c r="BK192" s="139">
        <v>0</v>
      </c>
      <c r="BL192" s="139">
        <v>0</v>
      </c>
      <c r="BM192" s="139">
        <v>0</v>
      </c>
      <c r="BN192" s="139">
        <v>0</v>
      </c>
      <c r="BO192" s="139">
        <v>0</v>
      </c>
      <c r="BP192" s="139">
        <v>0</v>
      </c>
      <c r="BQ192" s="139">
        <v>0</v>
      </c>
      <c r="BR192" s="139">
        <v>0</v>
      </c>
      <c r="BS192" s="206">
        <v>150</v>
      </c>
      <c r="BT192" s="205">
        <f t="shared" si="219"/>
        <v>12.600000000000023</v>
      </c>
      <c r="BU192" s="153">
        <f t="shared" si="216"/>
        <v>1600.8</v>
      </c>
    </row>
    <row r="193" spans="1:73" ht="25.8" thickBot="1" x14ac:dyDescent="0.65">
      <c r="A193" s="53">
        <v>185</v>
      </c>
      <c r="B193" s="99" t="s">
        <v>82</v>
      </c>
      <c r="C193" s="100" t="s">
        <v>168</v>
      </c>
      <c r="D193" s="99" t="s">
        <v>154</v>
      </c>
      <c r="E193" s="101">
        <v>8</v>
      </c>
      <c r="F193" s="101">
        <f t="shared" si="279"/>
        <v>4266.6400000000003</v>
      </c>
      <c r="G193" s="101">
        <f t="shared" si="280"/>
        <v>2196</v>
      </c>
      <c r="H193" s="102">
        <f t="shared" si="281"/>
        <v>6462.64</v>
      </c>
      <c r="I193" s="103">
        <v>7</v>
      </c>
      <c r="J193" s="81">
        <v>7</v>
      </c>
      <c r="L193" s="96">
        <v>46331</v>
      </c>
      <c r="M193" s="97"/>
      <c r="N193" s="98" t="str">
        <f t="shared" ca="1" si="315"/>
        <v>O.K.</v>
      </c>
      <c r="Z193" s="3" t="s">
        <v>82</v>
      </c>
      <c r="AA193" s="36">
        <v>900</v>
      </c>
      <c r="AB193" s="34">
        <v>96</v>
      </c>
      <c r="AC193" s="35">
        <v>120</v>
      </c>
      <c r="AD193" s="35">
        <v>120</v>
      </c>
      <c r="AE193" s="35">
        <v>120</v>
      </c>
      <c r="AF193" s="24">
        <v>156</v>
      </c>
      <c r="AG193" s="21">
        <f t="shared" si="186"/>
        <v>36</v>
      </c>
      <c r="AH193" s="42">
        <v>0</v>
      </c>
      <c r="AI193" s="42">
        <f>+(54)+(78)+(0)+(0)+(0)+(54)</f>
        <v>186</v>
      </c>
      <c r="AJ193" s="35">
        <v>120</v>
      </c>
      <c r="AK193" s="17">
        <f t="shared" si="309"/>
        <v>102</v>
      </c>
      <c r="AL193" s="42">
        <f t="shared" si="201"/>
        <v>0</v>
      </c>
      <c r="AM193" s="42">
        <f>+(78)+(216)+(0)+(0)+(0)+(0)</f>
        <v>294</v>
      </c>
      <c r="AN193" s="35">
        <v>120</v>
      </c>
      <c r="AO193" s="24">
        <f t="shared" si="296"/>
        <v>276</v>
      </c>
      <c r="AP193" s="42">
        <f t="shared" si="310"/>
        <v>0</v>
      </c>
      <c r="AQ193" s="42">
        <f>+(0)+(0)+(0)+(0)+(37.8)+(0)</f>
        <v>37.799999999999997</v>
      </c>
      <c r="AR193" s="68">
        <v>120</v>
      </c>
      <c r="AS193" s="71">
        <f t="shared" si="282"/>
        <v>193.8</v>
      </c>
      <c r="AT193" s="60">
        <f>+(0)+(0)+(0)+(0)+(54)+(0)</f>
        <v>54</v>
      </c>
      <c r="AU193" s="60">
        <f>+(0)+(204)+(0)+(0)+(0)+(0)</f>
        <v>204</v>
      </c>
      <c r="AV193" s="94">
        <v>120</v>
      </c>
      <c r="AW193" s="71">
        <f t="shared" si="283"/>
        <v>331.8</v>
      </c>
      <c r="AX193" s="60">
        <f>+(0)+(0)+(96)+(78)</f>
        <v>174</v>
      </c>
      <c r="AY193" s="113">
        <f t="shared" si="252"/>
        <v>0</v>
      </c>
      <c r="AZ193" s="72">
        <v>120</v>
      </c>
      <c r="BA193" s="72">
        <f t="shared" si="297"/>
        <v>385.8</v>
      </c>
      <c r="BB193" s="135">
        <f>+(0)+(0)+(0)+(108)</f>
        <v>108</v>
      </c>
      <c r="BC193" s="135">
        <f>+(0)+(0)+(0)+(0)+(0)+(0)+(0)+(30)</f>
        <v>30</v>
      </c>
      <c r="BD193" s="50">
        <v>120</v>
      </c>
      <c r="BE193" s="50">
        <f t="shared" si="276"/>
        <v>403.79999999999995</v>
      </c>
      <c r="BG193" s="139">
        <v>0</v>
      </c>
      <c r="BH193" s="139">
        <v>0</v>
      </c>
      <c r="BI193" s="139">
        <v>0</v>
      </c>
      <c r="BJ193" s="139">
        <v>0</v>
      </c>
      <c r="BK193" s="139">
        <v>0</v>
      </c>
      <c r="BL193" s="139">
        <v>0</v>
      </c>
      <c r="BM193" s="139">
        <v>0</v>
      </c>
      <c r="BN193" s="139">
        <v>0</v>
      </c>
      <c r="BO193" s="139">
        <v>0</v>
      </c>
      <c r="BP193" s="139">
        <v>0</v>
      </c>
      <c r="BQ193" s="139">
        <v>0</v>
      </c>
      <c r="BR193" s="139">
        <v>0</v>
      </c>
      <c r="BS193" s="206">
        <v>120</v>
      </c>
      <c r="BT193" s="205">
        <f t="shared" si="219"/>
        <v>283.79999999999995</v>
      </c>
      <c r="BU193" s="153">
        <f t="shared" si="216"/>
        <v>2196</v>
      </c>
    </row>
    <row r="194" spans="1:73" ht="25.8" thickBot="1" x14ac:dyDescent="0.65">
      <c r="A194" s="53">
        <v>186</v>
      </c>
      <c r="B194" s="99" t="s">
        <v>466</v>
      </c>
      <c r="C194" s="100" t="s">
        <v>168</v>
      </c>
      <c r="D194" s="108">
        <v>45533</v>
      </c>
      <c r="E194" s="101">
        <v>0</v>
      </c>
      <c r="F194" s="101">
        <f t="shared" ref="F194" si="324">+E194*$C$1</f>
        <v>0</v>
      </c>
      <c r="G194" s="101">
        <f t="shared" ref="G194" si="325">+BU194</f>
        <v>138</v>
      </c>
      <c r="H194" s="102">
        <f t="shared" ref="H194" si="326">+F194+G194</f>
        <v>138</v>
      </c>
      <c r="I194" s="103">
        <v>15</v>
      </c>
      <c r="J194" s="81">
        <v>15</v>
      </c>
      <c r="L194" s="96">
        <v>46263</v>
      </c>
      <c r="M194" s="97"/>
      <c r="N194" s="98" t="str">
        <f t="shared" ca="1" si="315"/>
        <v>O.K.</v>
      </c>
      <c r="Z194" s="3" t="s">
        <v>466</v>
      </c>
      <c r="AA194" s="36"/>
      <c r="AB194" s="34"/>
      <c r="AC194" s="35"/>
      <c r="AD194" s="35"/>
      <c r="AE194" s="35"/>
      <c r="AF194" s="24"/>
      <c r="AG194" s="21"/>
      <c r="AH194" s="42"/>
      <c r="AI194" s="42"/>
      <c r="AJ194" s="35"/>
      <c r="AK194" s="17"/>
      <c r="AL194" s="42"/>
      <c r="AM194" s="42"/>
      <c r="AN194" s="35"/>
      <c r="AO194" s="24"/>
      <c r="AP194" s="42"/>
      <c r="AQ194" s="42"/>
      <c r="AR194" s="68"/>
      <c r="AS194" s="71"/>
      <c r="AT194" s="60"/>
      <c r="AU194" s="60"/>
      <c r="AV194" s="94"/>
      <c r="AW194" s="71"/>
      <c r="AX194" s="60"/>
      <c r="AY194" s="113"/>
      <c r="AZ194" s="72"/>
      <c r="BA194" s="72"/>
      <c r="BB194" s="135">
        <f t="shared" si="220"/>
        <v>0</v>
      </c>
      <c r="BC194" s="135">
        <f>+(0)+(0)+(30)+(0)+(0)+(108)+(0)+(0)</f>
        <v>138</v>
      </c>
      <c r="BD194" s="50">
        <v>120</v>
      </c>
      <c r="BE194" s="50">
        <f t="shared" ref="BE194" si="327">(BA194+BB194+BC194)-BD194</f>
        <v>18</v>
      </c>
      <c r="BG194" s="139">
        <v>0</v>
      </c>
      <c r="BH194" s="139">
        <v>0</v>
      </c>
      <c r="BI194" s="139">
        <v>0</v>
      </c>
      <c r="BJ194" s="139">
        <v>0</v>
      </c>
      <c r="BK194" s="139">
        <v>0</v>
      </c>
      <c r="BL194" s="139">
        <v>0</v>
      </c>
      <c r="BM194" s="139">
        <v>0</v>
      </c>
      <c r="BN194" s="139">
        <v>0</v>
      </c>
      <c r="BO194" s="139">
        <v>0</v>
      </c>
      <c r="BP194" s="139">
        <v>0</v>
      </c>
      <c r="BQ194" s="139">
        <v>0</v>
      </c>
      <c r="BR194" s="139">
        <v>0</v>
      </c>
      <c r="BS194" s="206">
        <v>18</v>
      </c>
      <c r="BT194" s="205">
        <f t="shared" si="219"/>
        <v>0</v>
      </c>
      <c r="BU194" s="153">
        <f t="shared" ref="BU194:BU213" si="328">SUM(AA194:AD194)+AE194+AJ194+AN194+AR194+AV194+AZ194+BD194+BS194</f>
        <v>138</v>
      </c>
    </row>
    <row r="195" spans="1:73" ht="25.8" thickBot="1" x14ac:dyDescent="0.65">
      <c r="A195" s="53">
        <v>187</v>
      </c>
      <c r="B195" s="143" t="s">
        <v>83</v>
      </c>
      <c r="C195" s="144" t="s">
        <v>165</v>
      </c>
      <c r="D195" s="143" t="s">
        <v>100</v>
      </c>
      <c r="E195" s="146">
        <v>10</v>
      </c>
      <c r="F195" s="146">
        <f t="shared" si="279"/>
        <v>5333.3</v>
      </c>
      <c r="G195" s="146">
        <f t="shared" si="280"/>
        <v>2155.8000000000002</v>
      </c>
      <c r="H195" s="147">
        <f t="shared" si="281"/>
        <v>7489.1</v>
      </c>
      <c r="I195" s="148">
        <v>7</v>
      </c>
      <c r="J195" s="81">
        <v>7</v>
      </c>
      <c r="L195" s="149">
        <v>46643</v>
      </c>
      <c r="M195" s="150"/>
      <c r="N195" s="151" t="str">
        <f t="shared" ca="1" si="315"/>
        <v>O.K.</v>
      </c>
      <c r="Z195" s="3" t="s">
        <v>83</v>
      </c>
      <c r="AA195" s="36">
        <v>600</v>
      </c>
      <c r="AB195" s="34">
        <v>150</v>
      </c>
      <c r="AC195" s="35">
        <v>96</v>
      </c>
      <c r="AD195" s="35">
        <v>150</v>
      </c>
      <c r="AE195" s="35">
        <v>132.6</v>
      </c>
      <c r="AF195" s="24">
        <v>132.6</v>
      </c>
      <c r="AG195" s="21">
        <f t="shared" si="186"/>
        <v>0</v>
      </c>
      <c r="AH195" s="42">
        <v>0</v>
      </c>
      <c r="AI195" s="42">
        <f>+(0)+(132)+(0)+(0)+(132)+(132)</f>
        <v>396</v>
      </c>
      <c r="AJ195" s="35">
        <v>150</v>
      </c>
      <c r="AK195" s="17">
        <f t="shared" si="309"/>
        <v>246</v>
      </c>
      <c r="AL195" s="42">
        <f t="shared" si="201"/>
        <v>0</v>
      </c>
      <c r="AM195" s="42">
        <f t="shared" si="201"/>
        <v>0</v>
      </c>
      <c r="AN195" s="35">
        <v>150</v>
      </c>
      <c r="AO195" s="24">
        <f t="shared" si="296"/>
        <v>96</v>
      </c>
      <c r="AP195" s="42">
        <f t="shared" si="310"/>
        <v>0</v>
      </c>
      <c r="AQ195" s="42">
        <f>+(0)+(0)+(0)+(0)+(0)+(96)</f>
        <v>96</v>
      </c>
      <c r="AR195" s="68">
        <v>150</v>
      </c>
      <c r="AS195" s="71">
        <f t="shared" si="282"/>
        <v>42</v>
      </c>
      <c r="AT195" s="60">
        <f>+(0)+(0)+(0)+(0)+(54)+(0)</f>
        <v>54</v>
      </c>
      <c r="AU195" s="60">
        <f>+(0)+(31.2)+(0)+(0)+(0)+(0)</f>
        <v>31.2</v>
      </c>
      <c r="AV195" s="94">
        <v>127.2</v>
      </c>
      <c r="AW195" s="71">
        <f t="shared" si="283"/>
        <v>0</v>
      </c>
      <c r="AX195" s="60">
        <f t="shared" ref="AX195:AX344" si="329">+(0)+(0)+(0)+(0)</f>
        <v>0</v>
      </c>
      <c r="AY195" s="113">
        <f>+(120)+(0)+(0)+(0)+(0)+(0)+(0)+(30)</f>
        <v>150</v>
      </c>
      <c r="AZ195" s="71">
        <v>150</v>
      </c>
      <c r="BA195" s="71">
        <f t="shared" si="297"/>
        <v>0</v>
      </c>
      <c r="BB195" s="135">
        <f t="shared" si="220"/>
        <v>0</v>
      </c>
      <c r="BC195" s="135">
        <f>+(0)+(54)+(0)+(0)+(0)+(0)+(0)+(186)</f>
        <v>240</v>
      </c>
      <c r="BD195" s="50">
        <v>150</v>
      </c>
      <c r="BE195" s="50">
        <f t="shared" si="276"/>
        <v>90</v>
      </c>
      <c r="BG195" s="207">
        <v>78</v>
      </c>
      <c r="BH195" s="139">
        <v>0</v>
      </c>
      <c r="BI195" s="139">
        <v>0</v>
      </c>
      <c r="BJ195" s="139">
        <v>0</v>
      </c>
      <c r="BK195" s="139">
        <v>0</v>
      </c>
      <c r="BL195" s="139">
        <v>0</v>
      </c>
      <c r="BM195" s="139">
        <v>0</v>
      </c>
      <c r="BN195" s="139">
        <v>0</v>
      </c>
      <c r="BO195" s="139">
        <v>0</v>
      </c>
      <c r="BP195" s="139">
        <v>0</v>
      </c>
      <c r="BQ195" s="139">
        <v>0</v>
      </c>
      <c r="BR195" s="139">
        <v>0</v>
      </c>
      <c r="BS195" s="206">
        <v>150</v>
      </c>
      <c r="BT195" s="205">
        <f t="shared" ref="BT195:BT213" si="330">+BE195+SUM(BG195:BJ195)+SUM(BK195:BR195)-BS195</f>
        <v>18</v>
      </c>
      <c r="BU195" s="153">
        <f t="shared" si="328"/>
        <v>2155.8000000000002</v>
      </c>
    </row>
    <row r="196" spans="1:73" ht="25.8" thickBot="1" x14ac:dyDescent="0.65">
      <c r="A196" s="53">
        <v>188</v>
      </c>
      <c r="B196" s="143" t="s">
        <v>379</v>
      </c>
      <c r="C196" s="144" t="s">
        <v>166</v>
      </c>
      <c r="D196" s="145">
        <v>44774</v>
      </c>
      <c r="E196" s="146">
        <v>2</v>
      </c>
      <c r="F196" s="146">
        <f t="shared" si="279"/>
        <v>1066.6600000000001</v>
      </c>
      <c r="G196" s="146">
        <f t="shared" ref="G196" si="331">+BU196</f>
        <v>600</v>
      </c>
      <c r="H196" s="147">
        <f t="shared" ref="H196" si="332">+F196+G196</f>
        <v>1666.66</v>
      </c>
      <c r="I196" s="148">
        <v>14</v>
      </c>
      <c r="J196" s="81">
        <v>14</v>
      </c>
      <c r="L196" s="149">
        <v>46492</v>
      </c>
      <c r="M196" s="150"/>
      <c r="N196" s="151" t="str">
        <f t="shared" ca="1" si="315"/>
        <v>O.K.</v>
      </c>
      <c r="Z196" s="3" t="s">
        <v>379</v>
      </c>
      <c r="AA196" s="36">
        <v>0</v>
      </c>
      <c r="AB196" s="34">
        <v>0</v>
      </c>
      <c r="AC196" s="35">
        <v>0</v>
      </c>
      <c r="AD196" s="35">
        <v>0</v>
      </c>
      <c r="AE196" s="35">
        <v>0</v>
      </c>
      <c r="AF196" s="24">
        <v>0</v>
      </c>
      <c r="AG196" s="21">
        <f t="shared" si="186"/>
        <v>0</v>
      </c>
      <c r="AH196" s="42">
        <v>0</v>
      </c>
      <c r="AI196" s="42">
        <v>0</v>
      </c>
      <c r="AJ196" s="35">
        <v>0</v>
      </c>
      <c r="AK196" s="17">
        <f t="shared" si="309"/>
        <v>0</v>
      </c>
      <c r="AL196" s="42">
        <v>0</v>
      </c>
      <c r="AM196" s="42">
        <v>0</v>
      </c>
      <c r="AN196" s="35">
        <v>0</v>
      </c>
      <c r="AO196" s="24">
        <f t="shared" si="296"/>
        <v>0</v>
      </c>
      <c r="AP196" s="42">
        <f t="shared" si="310"/>
        <v>0</v>
      </c>
      <c r="AQ196" s="42">
        <f t="shared" si="310"/>
        <v>0</v>
      </c>
      <c r="AR196" s="68">
        <v>0</v>
      </c>
      <c r="AS196" s="71">
        <f t="shared" si="282"/>
        <v>0</v>
      </c>
      <c r="AT196" s="60">
        <f>+(67.2)+(0)+(0)+(0)+(54)+(0)</f>
        <v>121.2</v>
      </c>
      <c r="AU196" s="60">
        <f>+(120)+(37.8)+(0)+(0)+(0)+(0)</f>
        <v>157.80000000000001</v>
      </c>
      <c r="AV196" s="94">
        <v>150</v>
      </c>
      <c r="AW196" s="71">
        <f t="shared" ref="AW196:AW197" si="333">+AS196+AT196+AU196-AV196</f>
        <v>129</v>
      </c>
      <c r="AX196" s="60">
        <f>+(0)+(0)+(0)+(174)</f>
        <v>174</v>
      </c>
      <c r="AY196" s="113">
        <f>+(0)+(0)+(0)+(0)+(0)+(108)+(0)+(0)</f>
        <v>108</v>
      </c>
      <c r="AZ196" s="72">
        <v>150</v>
      </c>
      <c r="BA196" s="72">
        <f t="shared" si="297"/>
        <v>261</v>
      </c>
      <c r="BB196" s="135">
        <f t="shared" si="220"/>
        <v>0</v>
      </c>
      <c r="BC196" s="135">
        <f>+(0)+(30)+(0)+(0)+(0)+(78)+(84)+(108)</f>
        <v>300</v>
      </c>
      <c r="BD196" s="50">
        <v>150</v>
      </c>
      <c r="BE196" s="50">
        <f t="shared" si="276"/>
        <v>411</v>
      </c>
      <c r="BG196" s="139">
        <v>0</v>
      </c>
      <c r="BH196" s="139">
        <v>0</v>
      </c>
      <c r="BI196" s="139">
        <v>0</v>
      </c>
      <c r="BJ196" s="139">
        <v>0</v>
      </c>
      <c r="BK196" s="139">
        <v>0</v>
      </c>
      <c r="BL196" s="139">
        <v>0</v>
      </c>
      <c r="BM196" s="139">
        <v>0</v>
      </c>
      <c r="BN196" s="139">
        <v>0</v>
      </c>
      <c r="BO196" s="139">
        <v>0</v>
      </c>
      <c r="BP196" s="139">
        <v>0</v>
      </c>
      <c r="BQ196" s="139">
        <v>0</v>
      </c>
      <c r="BR196" s="139">
        <v>0</v>
      </c>
      <c r="BS196" s="206">
        <v>150</v>
      </c>
      <c r="BT196" s="205">
        <f t="shared" si="330"/>
        <v>261</v>
      </c>
      <c r="BU196" s="153">
        <f t="shared" si="328"/>
        <v>600</v>
      </c>
    </row>
    <row r="197" spans="1:73" ht="25.8" thickBot="1" x14ac:dyDescent="0.65">
      <c r="A197" s="53">
        <v>189</v>
      </c>
      <c r="B197" s="99" t="s">
        <v>431</v>
      </c>
      <c r="C197" s="100" t="s">
        <v>162</v>
      </c>
      <c r="D197" s="108">
        <v>45303</v>
      </c>
      <c r="E197" s="101">
        <v>0</v>
      </c>
      <c r="F197" s="101">
        <f t="shared" si="279"/>
        <v>0</v>
      </c>
      <c r="G197" s="101">
        <f t="shared" ref="G197" si="334">+BU197</f>
        <v>240</v>
      </c>
      <c r="H197" s="102">
        <f t="shared" ref="H197" si="335">+F197+G197</f>
        <v>240</v>
      </c>
      <c r="I197" s="103">
        <v>15</v>
      </c>
      <c r="J197" s="81">
        <v>15</v>
      </c>
      <c r="L197" s="96">
        <v>46034</v>
      </c>
      <c r="M197" s="97"/>
      <c r="N197" s="98" t="str">
        <f t="shared" ref="N197" ca="1" si="336">IF($B$2&lt;L197,"O.K.","A L E R T A ")</f>
        <v>O.K.</v>
      </c>
      <c r="Z197" s="3" t="s">
        <v>431</v>
      </c>
      <c r="AA197" s="36">
        <v>0</v>
      </c>
      <c r="AB197" s="34">
        <v>0</v>
      </c>
      <c r="AC197" s="35">
        <v>0</v>
      </c>
      <c r="AD197" s="35">
        <v>0</v>
      </c>
      <c r="AE197" s="35">
        <v>0</v>
      </c>
      <c r="AF197" s="24">
        <v>0</v>
      </c>
      <c r="AG197" s="21">
        <f t="shared" si="186"/>
        <v>0</v>
      </c>
      <c r="AH197" s="42">
        <v>0</v>
      </c>
      <c r="AI197" s="42">
        <v>0</v>
      </c>
      <c r="AJ197" s="35">
        <v>0</v>
      </c>
      <c r="AK197" s="17">
        <f t="shared" si="309"/>
        <v>0</v>
      </c>
      <c r="AL197" s="42">
        <v>0</v>
      </c>
      <c r="AM197" s="42">
        <v>0</v>
      </c>
      <c r="AN197" s="35">
        <v>0</v>
      </c>
      <c r="AO197" s="24">
        <f t="shared" si="296"/>
        <v>0</v>
      </c>
      <c r="AP197" s="42">
        <v>0</v>
      </c>
      <c r="AQ197" s="42">
        <v>0</v>
      </c>
      <c r="AR197" s="68">
        <v>0</v>
      </c>
      <c r="AS197" s="71">
        <f t="shared" si="282"/>
        <v>0</v>
      </c>
      <c r="AT197" s="60">
        <v>0</v>
      </c>
      <c r="AU197" s="60">
        <v>0</v>
      </c>
      <c r="AV197" s="94">
        <v>0</v>
      </c>
      <c r="AW197" s="71">
        <f t="shared" si="333"/>
        <v>0</v>
      </c>
      <c r="AX197" s="60">
        <f t="shared" si="329"/>
        <v>0</v>
      </c>
      <c r="AY197" s="113">
        <f t="shared" si="252"/>
        <v>0</v>
      </c>
      <c r="AZ197" s="72">
        <v>0</v>
      </c>
      <c r="BA197" s="72">
        <f t="shared" si="297"/>
        <v>0</v>
      </c>
      <c r="BB197" s="135">
        <f t="shared" si="220"/>
        <v>0</v>
      </c>
      <c r="BC197" s="135">
        <f>+(0)+(0)+(78)+(0)+(174)+(0)+(78)+(78)</f>
        <v>408</v>
      </c>
      <c r="BD197" s="50">
        <v>120</v>
      </c>
      <c r="BE197" s="50">
        <f t="shared" si="276"/>
        <v>288</v>
      </c>
      <c r="BG197" s="139">
        <v>0</v>
      </c>
      <c r="BH197" s="207">
        <v>78</v>
      </c>
      <c r="BI197" s="139">
        <v>0</v>
      </c>
      <c r="BJ197" s="139">
        <v>0</v>
      </c>
      <c r="BK197" s="139">
        <v>0</v>
      </c>
      <c r="BL197" s="139">
        <v>0</v>
      </c>
      <c r="BM197" s="139">
        <v>0</v>
      </c>
      <c r="BN197" s="139">
        <v>0</v>
      </c>
      <c r="BO197" s="139">
        <v>0</v>
      </c>
      <c r="BP197" s="139">
        <v>0</v>
      </c>
      <c r="BQ197" s="139">
        <v>0</v>
      </c>
      <c r="BR197" s="139">
        <v>0</v>
      </c>
      <c r="BS197" s="206">
        <v>120</v>
      </c>
      <c r="BT197" s="205">
        <f t="shared" si="330"/>
        <v>246</v>
      </c>
      <c r="BU197" s="153">
        <f t="shared" si="328"/>
        <v>240</v>
      </c>
    </row>
    <row r="198" spans="1:73" ht="25.8" thickBot="1" x14ac:dyDescent="0.65">
      <c r="A198" s="53">
        <v>190</v>
      </c>
      <c r="B198" s="143" t="s">
        <v>487</v>
      </c>
      <c r="C198" s="144" t="s">
        <v>164</v>
      </c>
      <c r="D198" s="145">
        <v>45667</v>
      </c>
      <c r="E198" s="146">
        <v>0</v>
      </c>
      <c r="F198" s="146">
        <f t="shared" ref="F198" si="337">+E198*$C$1</f>
        <v>0</v>
      </c>
      <c r="G198" s="146">
        <f t="shared" ref="G198" si="338">+BU198</f>
        <v>0</v>
      </c>
      <c r="H198" s="147">
        <f t="shared" ref="H198" si="339">+F198+G198</f>
        <v>0</v>
      </c>
      <c r="I198" s="148">
        <v>15</v>
      </c>
      <c r="J198" s="81">
        <v>15</v>
      </c>
      <c r="L198" s="163">
        <v>46397</v>
      </c>
      <c r="M198" s="150"/>
      <c r="N198" s="151" t="str">
        <f t="shared" ca="1" si="315"/>
        <v>O.K.</v>
      </c>
      <c r="Z198" s="3" t="s">
        <v>487</v>
      </c>
      <c r="AA198" s="36"/>
      <c r="AB198" s="34"/>
      <c r="AC198" s="35"/>
      <c r="AD198" s="35"/>
      <c r="AE198" s="35"/>
      <c r="AF198" s="24"/>
      <c r="AG198" s="21"/>
      <c r="AH198" s="42"/>
      <c r="AI198" s="42"/>
      <c r="AJ198" s="35"/>
      <c r="AK198" s="17"/>
      <c r="AL198" s="42"/>
      <c r="AM198" s="42"/>
      <c r="AN198" s="35"/>
      <c r="AO198" s="24"/>
      <c r="AP198" s="42"/>
      <c r="AQ198" s="42"/>
      <c r="AR198" s="68"/>
      <c r="AS198" s="71"/>
      <c r="AT198" s="60"/>
      <c r="AU198" s="60"/>
      <c r="AV198" s="94"/>
      <c r="AW198" s="71"/>
      <c r="AX198" s="60"/>
      <c r="AY198" s="113"/>
      <c r="AZ198" s="72"/>
      <c r="BA198" s="72"/>
      <c r="BB198" s="135">
        <f t="shared" si="220"/>
        <v>0</v>
      </c>
      <c r="BC198" s="135">
        <f t="shared" si="217"/>
        <v>0</v>
      </c>
      <c r="BD198" s="50">
        <v>0</v>
      </c>
      <c r="BE198" s="50">
        <f t="shared" ref="BE198" si="340">(BA198+BB198+BC198)-BD198</f>
        <v>0</v>
      </c>
      <c r="BG198" s="139">
        <v>0</v>
      </c>
      <c r="BH198" s="139">
        <v>0</v>
      </c>
      <c r="BI198" s="139">
        <v>0</v>
      </c>
      <c r="BJ198" s="139">
        <v>0</v>
      </c>
      <c r="BK198" s="139">
        <v>0</v>
      </c>
      <c r="BL198" s="139">
        <v>0</v>
      </c>
      <c r="BM198" s="139">
        <v>0</v>
      </c>
      <c r="BN198" s="139">
        <v>0</v>
      </c>
      <c r="BO198" s="139">
        <v>0</v>
      </c>
      <c r="BP198" s="139">
        <v>0</v>
      </c>
      <c r="BQ198" s="139">
        <v>0</v>
      </c>
      <c r="BR198" s="139">
        <v>0</v>
      </c>
      <c r="BS198" s="206">
        <v>0</v>
      </c>
      <c r="BT198" s="205">
        <f t="shared" si="330"/>
        <v>0</v>
      </c>
      <c r="BU198" s="153">
        <f t="shared" si="328"/>
        <v>0</v>
      </c>
    </row>
    <row r="199" spans="1:73" ht="25.8" thickBot="1" x14ac:dyDescent="0.65">
      <c r="A199" s="53">
        <v>191</v>
      </c>
      <c r="B199" s="91" t="s">
        <v>84</v>
      </c>
      <c r="C199" s="84" t="s">
        <v>168</v>
      </c>
      <c r="D199" s="91" t="s">
        <v>155</v>
      </c>
      <c r="E199" s="85">
        <v>15</v>
      </c>
      <c r="F199" s="85">
        <f t="shared" ref="F199:F213" si="341">+E199*$C$1</f>
        <v>7999.9500000000007</v>
      </c>
      <c r="G199" s="85">
        <f t="shared" ref="G199:G212" si="342">+BU199</f>
        <v>2925.65</v>
      </c>
      <c r="H199" s="86">
        <f t="shared" ref="H199:H212" si="343">+F199+G199</f>
        <v>10925.6</v>
      </c>
      <c r="I199" s="87">
        <v>1</v>
      </c>
      <c r="J199" s="81">
        <v>1</v>
      </c>
      <c r="L199" s="88"/>
      <c r="M199" s="89"/>
      <c r="N199" s="90" t="s">
        <v>171</v>
      </c>
      <c r="O199" s="1"/>
      <c r="P199" s="1"/>
      <c r="Q199" s="1"/>
      <c r="R199" s="1"/>
      <c r="S199" s="1"/>
      <c r="T199" s="1"/>
      <c r="U199" s="1"/>
      <c r="V199" s="1"/>
      <c r="W199" s="1"/>
      <c r="Z199" s="3" t="s">
        <v>84</v>
      </c>
      <c r="AA199" s="36">
        <v>1704.65</v>
      </c>
      <c r="AB199" s="34">
        <v>96</v>
      </c>
      <c r="AC199" s="35">
        <v>96</v>
      </c>
      <c r="AD199" s="35">
        <v>120</v>
      </c>
      <c r="AE199" s="35">
        <v>120</v>
      </c>
      <c r="AF199" s="24">
        <v>156</v>
      </c>
      <c r="AG199" s="21">
        <f t="shared" si="186"/>
        <v>36</v>
      </c>
      <c r="AH199" s="42">
        <v>0</v>
      </c>
      <c r="AI199" s="42">
        <f>+(0)+(0)+(54)+(0)+(54)+(54)</f>
        <v>162</v>
      </c>
      <c r="AJ199" s="35">
        <v>120</v>
      </c>
      <c r="AK199" s="17">
        <f t="shared" si="309"/>
        <v>78</v>
      </c>
      <c r="AL199" s="42">
        <f t="shared" si="201"/>
        <v>0</v>
      </c>
      <c r="AM199" s="42">
        <f>+(0)+(0)+(0)+(0)+(0)+(84)</f>
        <v>84</v>
      </c>
      <c r="AN199" s="35">
        <v>120</v>
      </c>
      <c r="AO199" s="24">
        <f t="shared" si="296"/>
        <v>42</v>
      </c>
      <c r="AP199" s="42">
        <f>+(0)+(0)+(0)+(0)+(30)+(0)</f>
        <v>30</v>
      </c>
      <c r="AQ199" s="42">
        <f>+(0)+(21)+(0)+(0)+(0)+(108)</f>
        <v>129</v>
      </c>
      <c r="AR199" s="68">
        <v>120</v>
      </c>
      <c r="AS199" s="71">
        <f t="shared" si="282"/>
        <v>81</v>
      </c>
      <c r="AT199" s="60">
        <f>+(0)+(0)+(0)+(0)+(54)+(0)</f>
        <v>54</v>
      </c>
      <c r="AU199" s="60">
        <f t="shared" si="311"/>
        <v>0</v>
      </c>
      <c r="AV199" s="94">
        <v>120</v>
      </c>
      <c r="AW199" s="71">
        <f t="shared" si="283"/>
        <v>15</v>
      </c>
      <c r="AX199" s="60">
        <f t="shared" si="329"/>
        <v>0</v>
      </c>
      <c r="AY199" s="113">
        <f>+(0)+(0)+(0)+(0)+(108)+(0)+(108)+(0)</f>
        <v>216</v>
      </c>
      <c r="AZ199" s="72">
        <v>120</v>
      </c>
      <c r="BA199" s="72">
        <f t="shared" si="297"/>
        <v>111</v>
      </c>
      <c r="BB199" s="135">
        <f t="shared" si="220"/>
        <v>0</v>
      </c>
      <c r="BC199" s="135">
        <f>+(78)+(0)+(0)+(0)+(0)+(0)+(0)+(0)</f>
        <v>78</v>
      </c>
      <c r="BD199" s="50">
        <v>120</v>
      </c>
      <c r="BE199" s="50">
        <f t="shared" si="276"/>
        <v>69</v>
      </c>
      <c r="BG199" s="139">
        <v>0</v>
      </c>
      <c r="BH199" s="139">
        <v>0</v>
      </c>
      <c r="BI199" s="139">
        <v>0</v>
      </c>
      <c r="BJ199" s="139">
        <v>0</v>
      </c>
      <c r="BK199" s="139">
        <v>0</v>
      </c>
      <c r="BL199" s="139">
        <v>0</v>
      </c>
      <c r="BM199" s="139">
        <v>0</v>
      </c>
      <c r="BN199" s="139">
        <v>0</v>
      </c>
      <c r="BO199" s="139">
        <v>0</v>
      </c>
      <c r="BP199" s="139">
        <v>0</v>
      </c>
      <c r="BQ199" s="139">
        <v>0</v>
      </c>
      <c r="BR199" s="139">
        <v>0</v>
      </c>
      <c r="BS199" s="206">
        <v>69</v>
      </c>
      <c r="BT199" s="205">
        <f t="shared" si="330"/>
        <v>0</v>
      </c>
      <c r="BU199" s="153">
        <f t="shared" si="328"/>
        <v>2925.65</v>
      </c>
    </row>
    <row r="200" spans="1:73" ht="25.8" thickBot="1" x14ac:dyDescent="0.65">
      <c r="A200" s="53">
        <v>192</v>
      </c>
      <c r="B200" s="99" t="s">
        <v>86</v>
      </c>
      <c r="C200" s="100" t="s">
        <v>162</v>
      </c>
      <c r="D200" s="99" t="s">
        <v>96</v>
      </c>
      <c r="E200" s="101">
        <v>8</v>
      </c>
      <c r="F200" s="101">
        <f t="shared" si="341"/>
        <v>4266.6400000000003</v>
      </c>
      <c r="G200" s="101">
        <f t="shared" si="342"/>
        <v>2376</v>
      </c>
      <c r="H200" s="102">
        <f t="shared" si="343"/>
        <v>6642.64</v>
      </c>
      <c r="I200" s="103">
        <v>7</v>
      </c>
      <c r="J200" s="81">
        <v>7</v>
      </c>
      <c r="L200" s="111">
        <v>46023</v>
      </c>
      <c r="M200" s="97"/>
      <c r="N200" s="98" t="str">
        <f ca="1">IF($B$2&lt;L200,"O.K.","A L E R T A ")</f>
        <v>O.K.</v>
      </c>
      <c r="Z200" s="3" t="s">
        <v>86</v>
      </c>
      <c r="AA200" s="34">
        <v>1104</v>
      </c>
      <c r="AB200" s="34">
        <v>96</v>
      </c>
      <c r="AC200" s="35">
        <v>96</v>
      </c>
      <c r="AD200" s="35">
        <v>120</v>
      </c>
      <c r="AE200" s="35">
        <v>120</v>
      </c>
      <c r="AF200" s="24">
        <v>156</v>
      </c>
      <c r="AG200" s="21">
        <f t="shared" si="186"/>
        <v>36</v>
      </c>
      <c r="AH200" s="42">
        <v>78</v>
      </c>
      <c r="AI200" s="42">
        <f>+(0)+(54)+(78)+(0)+(0)+(54)</f>
        <v>186</v>
      </c>
      <c r="AJ200" s="35">
        <v>120</v>
      </c>
      <c r="AK200" s="17">
        <f t="shared" si="309"/>
        <v>180</v>
      </c>
      <c r="AL200" s="42">
        <f t="shared" si="201"/>
        <v>0</v>
      </c>
      <c r="AM200" s="42">
        <f>+(0)+(0)+(0)+(0)+(13.44)+(0)</f>
        <v>13.44</v>
      </c>
      <c r="AN200" s="35">
        <v>120</v>
      </c>
      <c r="AO200" s="24">
        <f t="shared" si="296"/>
        <v>73.44</v>
      </c>
      <c r="AP200" s="42">
        <f>+(0)+(0)+(0)+(78)+(0)+(0)</f>
        <v>78</v>
      </c>
      <c r="AQ200" s="42">
        <f>+(0)+(0)+(30)+(0)+(0)+(0)</f>
        <v>30</v>
      </c>
      <c r="AR200" s="68">
        <v>120</v>
      </c>
      <c r="AS200" s="71">
        <f t="shared" si="282"/>
        <v>61.44</v>
      </c>
      <c r="AT200" s="60">
        <f>+(0)+(0)+(0)+(11.2)+(0)+(0)</f>
        <v>11.2</v>
      </c>
      <c r="AU200" s="60">
        <f>+(0)+(216)+(0)+(0)+(0)+(0)</f>
        <v>216</v>
      </c>
      <c r="AV200" s="94">
        <v>120</v>
      </c>
      <c r="AW200" s="71">
        <f t="shared" si="283"/>
        <v>168.64</v>
      </c>
      <c r="AX200" s="60">
        <f>+(60)+(0)+(0)+(37.8)</f>
        <v>97.8</v>
      </c>
      <c r="AY200" s="113">
        <f>+(0)+(0)+(0)+(78)+(0)+(0)+(0)+(0)</f>
        <v>78</v>
      </c>
      <c r="AZ200" s="72">
        <v>120</v>
      </c>
      <c r="BA200" s="72">
        <f>(+AW200+AX200+AY200)-AZ200</f>
        <v>224.44</v>
      </c>
      <c r="BB200" s="135">
        <f>+(0)+(0)+(0)+(186)</f>
        <v>186</v>
      </c>
      <c r="BC200" s="135">
        <f t="shared" ref="BC200:BC374" si="344">+(0)+(0)+(0)+(0)+(0)+(0)+(0)+(0)</f>
        <v>0</v>
      </c>
      <c r="BD200" s="50">
        <v>120</v>
      </c>
      <c r="BE200" s="50">
        <f t="shared" si="276"/>
        <v>290.44</v>
      </c>
      <c r="BG200" s="139">
        <v>0</v>
      </c>
      <c r="BH200" s="139">
        <v>0</v>
      </c>
      <c r="BI200" s="139">
        <v>0</v>
      </c>
      <c r="BJ200" s="139">
        <v>0</v>
      </c>
      <c r="BK200" s="139">
        <v>0</v>
      </c>
      <c r="BL200" s="139">
        <v>0</v>
      </c>
      <c r="BM200" s="139">
        <v>0</v>
      </c>
      <c r="BN200" s="139">
        <v>0</v>
      </c>
      <c r="BO200" s="139">
        <v>0</v>
      </c>
      <c r="BP200" s="139">
        <v>0</v>
      </c>
      <c r="BQ200" s="139">
        <v>0</v>
      </c>
      <c r="BR200" s="139">
        <v>0</v>
      </c>
      <c r="BS200" s="206">
        <v>120</v>
      </c>
      <c r="BT200" s="205">
        <f t="shared" si="330"/>
        <v>170.44</v>
      </c>
      <c r="BU200" s="153">
        <f t="shared" si="328"/>
        <v>2376</v>
      </c>
    </row>
    <row r="201" spans="1:73" ht="25.8" thickBot="1" x14ac:dyDescent="0.65">
      <c r="A201" s="53">
        <v>193</v>
      </c>
      <c r="B201" s="99" t="s">
        <v>87</v>
      </c>
      <c r="C201" s="100" t="s">
        <v>165</v>
      </c>
      <c r="D201" s="99" t="s">
        <v>157</v>
      </c>
      <c r="E201" s="101">
        <v>5</v>
      </c>
      <c r="F201" s="101">
        <f t="shared" si="341"/>
        <v>2666.65</v>
      </c>
      <c r="G201" s="101">
        <f t="shared" si="342"/>
        <v>1730.4</v>
      </c>
      <c r="H201" s="102">
        <f t="shared" si="343"/>
        <v>4397.05</v>
      </c>
      <c r="I201" s="103">
        <v>10</v>
      </c>
      <c r="J201" s="81">
        <v>10</v>
      </c>
      <c r="L201" s="96">
        <v>46063</v>
      </c>
      <c r="M201" s="97"/>
      <c r="N201" s="98" t="str">
        <f ca="1">IF($B$2&lt;L201,"O.K.","A L E R T A ")</f>
        <v>O.K.</v>
      </c>
      <c r="Z201" s="3" t="s">
        <v>87</v>
      </c>
      <c r="AA201" s="34">
        <v>225</v>
      </c>
      <c r="AB201" s="34">
        <v>150</v>
      </c>
      <c r="AC201" s="35">
        <v>96</v>
      </c>
      <c r="AD201" s="35">
        <v>96</v>
      </c>
      <c r="AE201" s="35">
        <v>150</v>
      </c>
      <c r="AF201" s="24">
        <v>156</v>
      </c>
      <c r="AG201" s="21">
        <f t="shared" ref="AG201:AG213" si="345">+AF201-AE201</f>
        <v>6</v>
      </c>
      <c r="AH201" s="42">
        <v>37.799999999999997</v>
      </c>
      <c r="AI201" s="42">
        <f>+(54)+(0)+(0)+(78)+(0)+(199.8)</f>
        <v>331.8</v>
      </c>
      <c r="AJ201" s="35">
        <v>150</v>
      </c>
      <c r="AK201" s="17">
        <f t="shared" si="309"/>
        <v>225.60000000000002</v>
      </c>
      <c r="AL201" s="42">
        <f t="shared" si="201"/>
        <v>0</v>
      </c>
      <c r="AM201" s="42">
        <f t="shared" si="201"/>
        <v>0</v>
      </c>
      <c r="AN201" s="35">
        <v>150</v>
      </c>
      <c r="AO201" s="24">
        <f t="shared" si="296"/>
        <v>75.600000000000023</v>
      </c>
      <c r="AP201" s="42">
        <f>+(0)+(0)+(0)+(0)+(108)+(0)</f>
        <v>108</v>
      </c>
      <c r="AQ201" s="42">
        <f t="shared" si="310"/>
        <v>0</v>
      </c>
      <c r="AR201" s="68">
        <v>150</v>
      </c>
      <c r="AS201" s="71">
        <f t="shared" si="282"/>
        <v>33.600000000000023</v>
      </c>
      <c r="AT201" s="60">
        <f>+(0)+(0)+(0)+(54.6)+(67.2)+(0)</f>
        <v>121.80000000000001</v>
      </c>
      <c r="AU201" s="60">
        <f>+(0)+(198)+(0)+(0)+(0)+(0)</f>
        <v>198</v>
      </c>
      <c r="AV201" s="94">
        <v>150</v>
      </c>
      <c r="AW201" s="71">
        <f t="shared" si="283"/>
        <v>203.40000000000003</v>
      </c>
      <c r="AX201" s="60">
        <f t="shared" ref="AX201:AX350" si="346">+(0)+(0)+(0)+(0)</f>
        <v>0</v>
      </c>
      <c r="AY201" s="113">
        <f>+(0)+(0)+(0)+(0)+(54)+(0)+(0)+(0)</f>
        <v>54</v>
      </c>
      <c r="AZ201" s="72">
        <v>150</v>
      </c>
      <c r="BA201" s="72">
        <f t="shared" ref="BA201:BA212" si="347">(+AW201+AX201+AY201)-AZ201</f>
        <v>107.40000000000003</v>
      </c>
      <c r="BB201" s="135">
        <f t="shared" ref="BB201:BB392" si="348">+(0)+(0)+(0)+(0)</f>
        <v>0</v>
      </c>
      <c r="BC201" s="135">
        <f>+(0)+(0)+(0)+(0)+(78)+(0)+(0)+(0)</f>
        <v>78</v>
      </c>
      <c r="BD201" s="50">
        <v>150</v>
      </c>
      <c r="BE201" s="50">
        <f t="shared" si="276"/>
        <v>35.400000000000034</v>
      </c>
      <c r="BG201" s="207">
        <v>78</v>
      </c>
      <c r="BH201" s="139">
        <v>0</v>
      </c>
      <c r="BI201" s="139">
        <v>0</v>
      </c>
      <c r="BJ201" s="139">
        <v>0</v>
      </c>
      <c r="BK201" s="139">
        <v>0</v>
      </c>
      <c r="BL201" s="139">
        <v>0</v>
      </c>
      <c r="BM201" s="139">
        <v>0</v>
      </c>
      <c r="BN201" s="139">
        <v>0</v>
      </c>
      <c r="BO201" s="139">
        <v>0</v>
      </c>
      <c r="BP201" s="139">
        <v>0</v>
      </c>
      <c r="BQ201" s="139">
        <v>0</v>
      </c>
      <c r="BR201" s="139">
        <v>0</v>
      </c>
      <c r="BS201" s="206">
        <v>113.4</v>
      </c>
      <c r="BT201" s="205">
        <f t="shared" si="330"/>
        <v>0</v>
      </c>
      <c r="BU201" s="153">
        <f t="shared" si="328"/>
        <v>1730.4</v>
      </c>
    </row>
    <row r="202" spans="1:73" ht="25.8" thickBot="1" x14ac:dyDescent="0.65">
      <c r="A202" s="53">
        <v>194</v>
      </c>
      <c r="B202" s="99" t="s">
        <v>88</v>
      </c>
      <c r="C202" s="100" t="s">
        <v>168</v>
      </c>
      <c r="D202" s="104" t="s">
        <v>158</v>
      </c>
      <c r="E202" s="101">
        <v>6</v>
      </c>
      <c r="F202" s="101">
        <f t="shared" si="341"/>
        <v>3199.9800000000005</v>
      </c>
      <c r="G202" s="101">
        <f t="shared" si="342"/>
        <v>1396.7999999999997</v>
      </c>
      <c r="H202" s="102">
        <f t="shared" si="343"/>
        <v>4596.7800000000007</v>
      </c>
      <c r="I202" s="103">
        <v>10</v>
      </c>
      <c r="J202" s="81">
        <v>10</v>
      </c>
      <c r="L202" s="111">
        <v>46125</v>
      </c>
      <c r="M202" s="97"/>
      <c r="N202" s="98" t="str">
        <f ca="1">IF($B$2&lt;L202,"O.K.","A L E R T A ")</f>
        <v>O.K.</v>
      </c>
      <c r="Z202" s="3" t="s">
        <v>88</v>
      </c>
      <c r="AA202" s="34">
        <v>420</v>
      </c>
      <c r="AB202" s="34">
        <v>96</v>
      </c>
      <c r="AC202" s="35">
        <v>120</v>
      </c>
      <c r="AD202" s="35">
        <v>108.6</v>
      </c>
      <c r="AE202" s="35">
        <v>120</v>
      </c>
      <c r="AF202" s="24">
        <v>156</v>
      </c>
      <c r="AG202" s="21">
        <f t="shared" si="345"/>
        <v>36</v>
      </c>
      <c r="AH202" s="42">
        <v>78</v>
      </c>
      <c r="AI202" s="42">
        <f>+(0)+(0)+(132.6)+(0)+(0)+(0)</f>
        <v>132.6</v>
      </c>
      <c r="AJ202" s="35">
        <v>120</v>
      </c>
      <c r="AK202" s="17">
        <f t="shared" si="309"/>
        <v>126.6</v>
      </c>
      <c r="AL202" s="42">
        <f t="shared" si="201"/>
        <v>0</v>
      </c>
      <c r="AM202" s="42">
        <f t="shared" si="201"/>
        <v>0</v>
      </c>
      <c r="AN202" s="35">
        <v>120</v>
      </c>
      <c r="AO202" s="24">
        <f t="shared" si="296"/>
        <v>6.5999999999999943</v>
      </c>
      <c r="AP202" s="42">
        <f t="shared" si="310"/>
        <v>0</v>
      </c>
      <c r="AQ202" s="42">
        <f t="shared" si="310"/>
        <v>0</v>
      </c>
      <c r="AR202" s="68">
        <v>6.6</v>
      </c>
      <c r="AS202" s="71">
        <f t="shared" si="282"/>
        <v>0</v>
      </c>
      <c r="AT202" s="60">
        <f>+(0)+(0)+(0)+(0)+(54)+(0)</f>
        <v>54</v>
      </c>
      <c r="AU202" s="60">
        <f t="shared" si="311"/>
        <v>0</v>
      </c>
      <c r="AV202" s="94">
        <v>54</v>
      </c>
      <c r="AW202" s="71">
        <f t="shared" si="283"/>
        <v>0</v>
      </c>
      <c r="AX202" s="60">
        <f>+(0)+(0)+(0)+(99.6)</f>
        <v>99.6</v>
      </c>
      <c r="AY202" s="113">
        <f t="shared" si="252"/>
        <v>0</v>
      </c>
      <c r="AZ202" s="72">
        <v>99.6</v>
      </c>
      <c r="BA202" s="72">
        <f t="shared" si="347"/>
        <v>0</v>
      </c>
      <c r="BB202" s="135">
        <f>+(0)+(0)+(0)+(132)</f>
        <v>132</v>
      </c>
      <c r="BC202" s="135">
        <f t="shared" si="344"/>
        <v>0</v>
      </c>
      <c r="BD202" s="50">
        <v>120</v>
      </c>
      <c r="BE202" s="50">
        <f t="shared" ref="BE202:BE210" si="349">(BA202+BB202+BC202)-BD202</f>
        <v>12</v>
      </c>
      <c r="BG202" s="139">
        <v>0</v>
      </c>
      <c r="BH202" s="139">
        <v>0</v>
      </c>
      <c r="BI202" s="139">
        <v>0</v>
      </c>
      <c r="BJ202" s="139">
        <v>0</v>
      </c>
      <c r="BK202" s="139">
        <v>0</v>
      </c>
      <c r="BL202" s="139">
        <v>0</v>
      </c>
      <c r="BM202" s="139">
        <v>0</v>
      </c>
      <c r="BN202" s="139">
        <v>0</v>
      </c>
      <c r="BO202" s="139">
        <v>0</v>
      </c>
      <c r="BP202" s="139">
        <v>0</v>
      </c>
      <c r="BQ202" s="139">
        <v>0</v>
      </c>
      <c r="BR202" s="139">
        <v>0</v>
      </c>
      <c r="BS202" s="206">
        <v>12</v>
      </c>
      <c r="BT202" s="205">
        <f t="shared" si="330"/>
        <v>0</v>
      </c>
      <c r="BU202" s="153">
        <f t="shared" si="328"/>
        <v>1396.7999999999997</v>
      </c>
    </row>
    <row r="203" spans="1:73" ht="25.8" thickBot="1" x14ac:dyDescent="0.65">
      <c r="A203" s="53">
        <v>195</v>
      </c>
      <c r="B203" s="83" t="s">
        <v>89</v>
      </c>
      <c r="C203" s="84" t="s">
        <v>162</v>
      </c>
      <c r="D203" s="91" t="s">
        <v>116</v>
      </c>
      <c r="E203" s="85">
        <v>15</v>
      </c>
      <c r="F203" s="85">
        <f t="shared" si="341"/>
        <v>7999.9500000000007</v>
      </c>
      <c r="G203" s="85">
        <f t="shared" si="342"/>
        <v>3016</v>
      </c>
      <c r="H203" s="86">
        <f t="shared" si="343"/>
        <v>11015.95</v>
      </c>
      <c r="I203" s="87">
        <v>1</v>
      </c>
      <c r="J203" s="81">
        <v>1</v>
      </c>
      <c r="L203" s="88"/>
      <c r="M203" s="89"/>
      <c r="N203" s="90" t="s">
        <v>171</v>
      </c>
      <c r="Z203" s="3" t="s">
        <v>89</v>
      </c>
      <c r="AA203" s="34">
        <v>1720</v>
      </c>
      <c r="AB203" s="34">
        <v>120</v>
      </c>
      <c r="AC203" s="35">
        <v>96</v>
      </c>
      <c r="AD203" s="35">
        <v>120</v>
      </c>
      <c r="AE203" s="35">
        <v>120</v>
      </c>
      <c r="AF203" s="24">
        <v>156</v>
      </c>
      <c r="AG203" s="21">
        <f t="shared" si="345"/>
        <v>36</v>
      </c>
      <c r="AH203" s="42">
        <v>0</v>
      </c>
      <c r="AI203" s="42">
        <f>+(0)+(0)+(186.6)+(0)+(0)+(54)</f>
        <v>240.6</v>
      </c>
      <c r="AJ203" s="35">
        <v>120</v>
      </c>
      <c r="AK203" s="17">
        <f t="shared" si="309"/>
        <v>156.60000000000002</v>
      </c>
      <c r="AL203" s="42">
        <f>+(0)+(0)+(0)+(0)+(0)+(0)</f>
        <v>0</v>
      </c>
      <c r="AM203" s="42">
        <f>+(0)+(0)+(0)+(0)+(0)+(0)</f>
        <v>0</v>
      </c>
      <c r="AN203" s="35">
        <v>120</v>
      </c>
      <c r="AO203" s="24">
        <f t="shared" si="296"/>
        <v>36.600000000000023</v>
      </c>
      <c r="AP203" s="42">
        <f t="shared" si="310"/>
        <v>0</v>
      </c>
      <c r="AQ203" s="42">
        <f>+(0)+(186)+(78)+(0)+(0)+(294)</f>
        <v>558</v>
      </c>
      <c r="AR203" s="68">
        <v>120</v>
      </c>
      <c r="AS203" s="71">
        <f t="shared" si="282"/>
        <v>474.6</v>
      </c>
      <c r="AT203" s="60">
        <f>+(0)+(0)+(0)+(0)+(84)+(120)</f>
        <v>204</v>
      </c>
      <c r="AU203" s="60">
        <f>+(0)+(126)+(0)+(0)+(0)+(0)</f>
        <v>126</v>
      </c>
      <c r="AV203" s="94">
        <v>120</v>
      </c>
      <c r="AW203" s="71">
        <f t="shared" si="283"/>
        <v>684.6</v>
      </c>
      <c r="AX203" s="60">
        <f t="shared" si="346"/>
        <v>0</v>
      </c>
      <c r="AY203" s="113">
        <f>+(0)+(0)+(0)+(0)+(0)+(0)+(0)+(30)</f>
        <v>30</v>
      </c>
      <c r="AZ203" s="71">
        <v>120</v>
      </c>
      <c r="BA203" s="71">
        <f t="shared" si="347"/>
        <v>594.6</v>
      </c>
      <c r="BB203" s="135">
        <f>+(0)+(0)+(0)+(37.8)</f>
        <v>37.799999999999997</v>
      </c>
      <c r="BC203" s="135">
        <f t="shared" si="344"/>
        <v>0</v>
      </c>
      <c r="BD203" s="50">
        <v>120</v>
      </c>
      <c r="BE203" s="50">
        <f t="shared" si="349"/>
        <v>512.4</v>
      </c>
      <c r="BG203" s="139">
        <v>0</v>
      </c>
      <c r="BH203" s="139">
        <v>0</v>
      </c>
      <c r="BI203" s="139">
        <v>0</v>
      </c>
      <c r="BJ203" s="139">
        <v>0</v>
      </c>
      <c r="BK203" s="139">
        <v>0</v>
      </c>
      <c r="BL203" s="139">
        <v>0</v>
      </c>
      <c r="BM203" s="139">
        <v>0</v>
      </c>
      <c r="BN203" s="139">
        <v>0</v>
      </c>
      <c r="BO203" s="139">
        <v>0</v>
      </c>
      <c r="BP203" s="139">
        <v>0</v>
      </c>
      <c r="BQ203" s="139">
        <v>0</v>
      </c>
      <c r="BR203" s="139">
        <v>0</v>
      </c>
      <c r="BS203" s="206">
        <v>120</v>
      </c>
      <c r="BT203" s="205">
        <f t="shared" si="330"/>
        <v>392.4</v>
      </c>
      <c r="BU203" s="153">
        <f t="shared" si="328"/>
        <v>3016</v>
      </c>
    </row>
    <row r="204" spans="1:73" ht="25.8" thickBot="1" x14ac:dyDescent="0.65">
      <c r="A204" s="53">
        <v>196</v>
      </c>
      <c r="B204" s="83" t="s">
        <v>90</v>
      </c>
      <c r="C204" s="84" t="s">
        <v>166</v>
      </c>
      <c r="D204" s="83" t="s">
        <v>159</v>
      </c>
      <c r="E204" s="85">
        <v>15</v>
      </c>
      <c r="F204" s="85">
        <f t="shared" si="341"/>
        <v>7999.9500000000007</v>
      </c>
      <c r="G204" s="85">
        <f t="shared" si="342"/>
        <v>3126</v>
      </c>
      <c r="H204" s="86">
        <f t="shared" si="343"/>
        <v>11125.95</v>
      </c>
      <c r="I204" s="87">
        <v>2</v>
      </c>
      <c r="J204" s="81">
        <v>2</v>
      </c>
      <c r="L204" s="88"/>
      <c r="M204" s="89"/>
      <c r="N204" s="90" t="s">
        <v>171</v>
      </c>
      <c r="Z204" s="3" t="s">
        <v>90</v>
      </c>
      <c r="AA204" s="34">
        <v>1584</v>
      </c>
      <c r="AB204" s="34">
        <v>150</v>
      </c>
      <c r="AC204" s="35">
        <v>108</v>
      </c>
      <c r="AD204" s="35">
        <v>96</v>
      </c>
      <c r="AE204" s="35">
        <v>150</v>
      </c>
      <c r="AF204" s="24">
        <v>234</v>
      </c>
      <c r="AG204" s="21">
        <f t="shared" si="345"/>
        <v>84</v>
      </c>
      <c r="AH204" s="42">
        <v>0</v>
      </c>
      <c r="AI204" s="42">
        <f>+(0)+(0)+(0)+(0)+(0)+(54)</f>
        <v>54</v>
      </c>
      <c r="AJ204" s="35">
        <v>138</v>
      </c>
      <c r="AK204" s="17">
        <f t="shared" si="309"/>
        <v>0</v>
      </c>
      <c r="AL204" s="42">
        <f>+(0)+(0)+(0)+(0)+(54)+(156)</f>
        <v>210</v>
      </c>
      <c r="AM204" s="42">
        <f>+(0)+(108)+(0)+(0)+(0)+(0)</f>
        <v>108</v>
      </c>
      <c r="AN204" s="35">
        <v>150</v>
      </c>
      <c r="AO204" s="65">
        <f t="shared" si="296"/>
        <v>168</v>
      </c>
      <c r="AP204" s="42">
        <f t="shared" si="310"/>
        <v>0</v>
      </c>
      <c r="AQ204" s="42">
        <f>+(0)+(0)+(0)+(0)+(0)+(258)</f>
        <v>258</v>
      </c>
      <c r="AR204" s="68">
        <v>150</v>
      </c>
      <c r="AS204" s="71">
        <f t="shared" si="282"/>
        <v>276</v>
      </c>
      <c r="AT204" s="60">
        <f>+(0)+(0)+(0)+(0)+(54)+(0)</f>
        <v>54</v>
      </c>
      <c r="AU204" s="60">
        <f>+(0)+(186)+(0)+(0)+(0)+(0)</f>
        <v>186</v>
      </c>
      <c r="AV204" s="94">
        <v>150</v>
      </c>
      <c r="AW204" s="71">
        <f t="shared" si="283"/>
        <v>366</v>
      </c>
      <c r="AX204" s="60">
        <f t="shared" si="346"/>
        <v>0</v>
      </c>
      <c r="AY204" s="113">
        <f t="shared" si="252"/>
        <v>0</v>
      </c>
      <c r="AZ204" s="72">
        <v>150</v>
      </c>
      <c r="BA204" s="72">
        <f t="shared" si="347"/>
        <v>216</v>
      </c>
      <c r="BB204" s="135">
        <f t="shared" si="348"/>
        <v>0</v>
      </c>
      <c r="BC204" s="135">
        <f>+(0)+(78)+(0)+(0)+(54)+(0)+(0)+(0)</f>
        <v>132</v>
      </c>
      <c r="BD204" s="50">
        <v>150</v>
      </c>
      <c r="BE204" s="50">
        <f t="shared" si="349"/>
        <v>198</v>
      </c>
      <c r="BG204" s="139">
        <v>0</v>
      </c>
      <c r="BH204" s="139">
        <v>0</v>
      </c>
      <c r="BI204" s="139">
        <v>0</v>
      </c>
      <c r="BJ204" s="139">
        <v>0</v>
      </c>
      <c r="BK204" s="139">
        <v>0</v>
      </c>
      <c r="BL204" s="139">
        <v>0</v>
      </c>
      <c r="BM204" s="139">
        <v>0</v>
      </c>
      <c r="BN204" s="139">
        <v>0</v>
      </c>
      <c r="BO204" s="139">
        <v>0</v>
      </c>
      <c r="BP204" s="139">
        <v>0</v>
      </c>
      <c r="BQ204" s="139">
        <v>0</v>
      </c>
      <c r="BR204" s="139">
        <v>0</v>
      </c>
      <c r="BS204" s="206">
        <v>150</v>
      </c>
      <c r="BT204" s="205">
        <f t="shared" si="330"/>
        <v>48</v>
      </c>
      <c r="BU204" s="153">
        <f t="shared" si="328"/>
        <v>3126</v>
      </c>
    </row>
    <row r="205" spans="1:73" ht="25.8" thickBot="1" x14ac:dyDescent="0.65">
      <c r="A205" s="53">
        <v>197</v>
      </c>
      <c r="B205" s="143" t="s">
        <v>479</v>
      </c>
      <c r="C205" s="144" t="s">
        <v>166</v>
      </c>
      <c r="D205" s="145">
        <v>45117</v>
      </c>
      <c r="E205" s="146">
        <v>1</v>
      </c>
      <c r="F205" s="146">
        <f t="shared" si="341"/>
        <v>533.33000000000004</v>
      </c>
      <c r="G205" s="146">
        <f t="shared" si="342"/>
        <v>521.4</v>
      </c>
      <c r="H205" s="147">
        <f t="shared" si="343"/>
        <v>1054.73</v>
      </c>
      <c r="I205" s="148">
        <v>14</v>
      </c>
      <c r="J205" s="81">
        <v>14</v>
      </c>
      <c r="L205" s="189">
        <v>46578</v>
      </c>
      <c r="M205" s="190"/>
      <c r="N205" s="151" t="str">
        <f t="shared" ref="N205" ca="1" si="350">IF($B$2&lt;L205,"O.K.","A L E R T A ")</f>
        <v>O.K.</v>
      </c>
      <c r="Z205" s="154" t="s">
        <v>479</v>
      </c>
      <c r="AA205" s="155">
        <v>71.400000000000006</v>
      </c>
      <c r="AB205" s="156">
        <v>0</v>
      </c>
      <c r="AC205" s="43">
        <v>0</v>
      </c>
      <c r="AD205" s="43">
        <v>0</v>
      </c>
      <c r="AE205" s="43">
        <v>0</v>
      </c>
      <c r="AF205" s="157">
        <v>0</v>
      </c>
      <c r="AG205" s="132">
        <f t="shared" si="345"/>
        <v>0</v>
      </c>
      <c r="AH205" s="158">
        <v>0</v>
      </c>
      <c r="AI205" s="158">
        <v>0</v>
      </c>
      <c r="AJ205" s="43">
        <v>0</v>
      </c>
      <c r="AK205" s="159">
        <f t="shared" si="309"/>
        <v>0</v>
      </c>
      <c r="AL205" s="158">
        <v>0</v>
      </c>
      <c r="AM205" s="158">
        <v>0</v>
      </c>
      <c r="AN205" s="43">
        <v>0</v>
      </c>
      <c r="AO205" s="65">
        <f t="shared" si="296"/>
        <v>0</v>
      </c>
      <c r="AP205" s="158">
        <v>0</v>
      </c>
      <c r="AQ205" s="158">
        <v>0</v>
      </c>
      <c r="AR205" s="160">
        <v>0</v>
      </c>
      <c r="AS205" s="71">
        <f t="shared" si="282"/>
        <v>0</v>
      </c>
      <c r="AT205" s="60">
        <f t="shared" ref="AT205:AU205" si="351">+(0)+(0)+(0)+(0)+(0)+(0)</f>
        <v>0</v>
      </c>
      <c r="AU205" s="60">
        <f t="shared" si="351"/>
        <v>0</v>
      </c>
      <c r="AV205" s="161">
        <v>0</v>
      </c>
      <c r="AW205" s="162">
        <f t="shared" si="283"/>
        <v>0</v>
      </c>
      <c r="AX205" s="24">
        <f>+(0)+(21)+(30)+(99.6)</f>
        <v>150.6</v>
      </c>
      <c r="AY205" s="24">
        <f>+(96)+(0)+(0)+(0)+(30)+(120)+(166.2)+(0)</f>
        <v>412.2</v>
      </c>
      <c r="AZ205" s="24">
        <v>150</v>
      </c>
      <c r="BA205" s="24">
        <f t="shared" ref="BA205" si="352">+AW205+AX205+AY205-AZ205</f>
        <v>412.79999999999995</v>
      </c>
      <c r="BB205" s="135">
        <f t="shared" si="348"/>
        <v>0</v>
      </c>
      <c r="BC205" s="135">
        <f>+(0)+(30)+(198)+(0)+(0)+(0)+(0)+(0)</f>
        <v>228</v>
      </c>
      <c r="BD205" s="50">
        <v>150</v>
      </c>
      <c r="BE205" s="50">
        <f t="shared" si="349"/>
        <v>490.79999999999995</v>
      </c>
      <c r="BG205" s="139">
        <v>0</v>
      </c>
      <c r="BH205" s="139">
        <v>0</v>
      </c>
      <c r="BI205" s="139">
        <v>0</v>
      </c>
      <c r="BJ205" s="139">
        <v>0</v>
      </c>
      <c r="BK205" s="139">
        <v>0</v>
      </c>
      <c r="BL205" s="139">
        <v>0</v>
      </c>
      <c r="BM205" s="139">
        <v>0</v>
      </c>
      <c r="BN205" s="139">
        <v>0</v>
      </c>
      <c r="BO205" s="139">
        <v>0</v>
      </c>
      <c r="BP205" s="139">
        <v>0</v>
      </c>
      <c r="BQ205" s="139">
        <v>0</v>
      </c>
      <c r="BR205" s="139">
        <v>0</v>
      </c>
      <c r="BS205" s="206">
        <v>150</v>
      </c>
      <c r="BT205" s="205">
        <f t="shared" si="330"/>
        <v>340.79999999999995</v>
      </c>
      <c r="BU205" s="153">
        <f t="shared" si="328"/>
        <v>521.4</v>
      </c>
    </row>
    <row r="206" spans="1:73" ht="25.8" thickBot="1" x14ac:dyDescent="0.65">
      <c r="A206" s="53">
        <v>198</v>
      </c>
      <c r="B206" s="83" t="s">
        <v>91</v>
      </c>
      <c r="C206" s="84" t="s">
        <v>166</v>
      </c>
      <c r="D206" s="83" t="s">
        <v>160</v>
      </c>
      <c r="E206" s="85">
        <v>15</v>
      </c>
      <c r="F206" s="85">
        <f t="shared" si="341"/>
        <v>7999.9500000000007</v>
      </c>
      <c r="G206" s="85">
        <f t="shared" si="342"/>
        <v>3590</v>
      </c>
      <c r="H206" s="86">
        <f t="shared" si="343"/>
        <v>11589.95</v>
      </c>
      <c r="I206" s="87">
        <v>2</v>
      </c>
      <c r="J206" s="81">
        <v>2</v>
      </c>
      <c r="L206" s="88"/>
      <c r="M206" s="89"/>
      <c r="N206" s="90" t="s">
        <v>171</v>
      </c>
      <c r="Z206" s="3" t="s">
        <v>91</v>
      </c>
      <c r="AA206" s="34">
        <v>2024</v>
      </c>
      <c r="AB206" s="34">
        <v>96</v>
      </c>
      <c r="AC206" s="35">
        <v>120</v>
      </c>
      <c r="AD206" s="35">
        <v>150</v>
      </c>
      <c r="AE206" s="35">
        <v>150</v>
      </c>
      <c r="AF206" s="24">
        <v>156</v>
      </c>
      <c r="AG206" s="21">
        <f t="shared" si="345"/>
        <v>6</v>
      </c>
      <c r="AH206" s="42">
        <v>132.6</v>
      </c>
      <c r="AI206" s="42">
        <f>+(0)+(0)+(0)+(0)+(0)+(162)</f>
        <v>162</v>
      </c>
      <c r="AJ206" s="35">
        <v>150</v>
      </c>
      <c r="AK206" s="17">
        <f t="shared" si="309"/>
        <v>150.60000000000002</v>
      </c>
      <c r="AL206" s="42">
        <f>+(0)+(0)+(0)+(0)+(0)+(0)</f>
        <v>0</v>
      </c>
      <c r="AM206" s="42">
        <f>+(0)+(183.6)+(78)+(0)+(0)+(0)</f>
        <v>261.60000000000002</v>
      </c>
      <c r="AN206" s="35">
        <v>150</v>
      </c>
      <c r="AO206" s="24">
        <f t="shared" si="296"/>
        <v>262.20000000000005</v>
      </c>
      <c r="AP206" s="42">
        <f t="shared" si="310"/>
        <v>0</v>
      </c>
      <c r="AQ206" s="42">
        <f>+(0)+(0)+(0)+(0)+(318)+(0)</f>
        <v>318</v>
      </c>
      <c r="AR206" s="68">
        <v>150</v>
      </c>
      <c r="AS206" s="71">
        <f t="shared" si="282"/>
        <v>430.20000000000005</v>
      </c>
      <c r="AT206" s="60">
        <f t="shared" si="311"/>
        <v>0</v>
      </c>
      <c r="AU206" s="60">
        <f t="shared" si="311"/>
        <v>0</v>
      </c>
      <c r="AV206" s="94">
        <v>150</v>
      </c>
      <c r="AW206" s="71">
        <f t="shared" si="283"/>
        <v>280.20000000000005</v>
      </c>
      <c r="AX206" s="60">
        <f>+(0)+(0)+(0)+(96)</f>
        <v>96</v>
      </c>
      <c r="AY206" s="113">
        <f>+(0)+(0)+(96)+(0)+(0)+(0)+(0)+(0)</f>
        <v>96</v>
      </c>
      <c r="AZ206" s="72">
        <v>150</v>
      </c>
      <c r="BA206" s="72">
        <f t="shared" si="347"/>
        <v>322.20000000000005</v>
      </c>
      <c r="BB206" s="135">
        <f t="shared" si="348"/>
        <v>0</v>
      </c>
      <c r="BC206" s="135">
        <f t="shared" si="344"/>
        <v>0</v>
      </c>
      <c r="BD206" s="50">
        <v>150</v>
      </c>
      <c r="BE206" s="50">
        <f t="shared" si="349"/>
        <v>172.20000000000005</v>
      </c>
      <c r="BG206" s="139">
        <v>0</v>
      </c>
      <c r="BH206" s="139">
        <v>0</v>
      </c>
      <c r="BI206" s="139">
        <v>0</v>
      </c>
      <c r="BJ206" s="139">
        <v>0</v>
      </c>
      <c r="BK206" s="139">
        <v>0</v>
      </c>
      <c r="BL206" s="139">
        <v>0</v>
      </c>
      <c r="BM206" s="139">
        <v>0</v>
      </c>
      <c r="BN206" s="139">
        <v>0</v>
      </c>
      <c r="BO206" s="139">
        <v>0</v>
      </c>
      <c r="BP206" s="139">
        <v>0</v>
      </c>
      <c r="BQ206" s="139">
        <v>0</v>
      </c>
      <c r="BR206" s="139">
        <v>0</v>
      </c>
      <c r="BS206" s="206">
        <v>150</v>
      </c>
      <c r="BT206" s="205">
        <f t="shared" si="330"/>
        <v>22.200000000000045</v>
      </c>
      <c r="BU206" s="153">
        <f t="shared" si="328"/>
        <v>3590</v>
      </c>
    </row>
    <row r="207" spans="1:73" ht="25.8" thickBot="1" x14ac:dyDescent="0.65">
      <c r="A207" s="53">
        <v>199</v>
      </c>
      <c r="B207" s="143" t="s">
        <v>517</v>
      </c>
      <c r="C207" s="144" t="s">
        <v>164</v>
      </c>
      <c r="D207" s="145">
        <v>45000</v>
      </c>
      <c r="E207" s="146">
        <v>1</v>
      </c>
      <c r="F207" s="146">
        <f t="shared" si="341"/>
        <v>533.33000000000004</v>
      </c>
      <c r="G207" s="146">
        <f>+'[2]BIENIOS DEPARTAMENTO DE SALUD'!BR213</f>
        <v>0</v>
      </c>
      <c r="H207" s="147">
        <f t="shared" si="343"/>
        <v>533.33000000000004</v>
      </c>
      <c r="I207" s="148">
        <v>14</v>
      </c>
      <c r="J207" s="209">
        <v>14</v>
      </c>
      <c r="L207" s="149">
        <v>46461</v>
      </c>
      <c r="M207" s="150"/>
      <c r="N207" s="151" t="str">
        <f t="shared" ref="N207" ca="1" si="353">IF($B$2&lt;L207,"O.K.","A L E R T A ")</f>
        <v>O.K.</v>
      </c>
      <c r="Z207" s="3" t="s">
        <v>517</v>
      </c>
      <c r="AA207" s="34">
        <v>0</v>
      </c>
      <c r="AB207" s="34">
        <v>0</v>
      </c>
      <c r="AC207" s="35">
        <v>0</v>
      </c>
      <c r="AD207" s="35">
        <v>0</v>
      </c>
      <c r="AE207" s="35">
        <v>0</v>
      </c>
      <c r="AF207" s="24">
        <v>0</v>
      </c>
      <c r="AG207" s="21">
        <f t="shared" si="345"/>
        <v>0</v>
      </c>
      <c r="AH207" s="42">
        <v>0</v>
      </c>
      <c r="AI207" s="42">
        <v>0</v>
      </c>
      <c r="AJ207" s="35">
        <v>0</v>
      </c>
      <c r="AK207" s="17">
        <f t="shared" si="309"/>
        <v>0</v>
      </c>
      <c r="AL207" s="42">
        <v>0</v>
      </c>
      <c r="AM207" s="42">
        <v>0</v>
      </c>
      <c r="AN207" s="35">
        <v>0</v>
      </c>
      <c r="AO207" s="24">
        <f t="shared" si="296"/>
        <v>0</v>
      </c>
      <c r="AP207" s="42">
        <v>0</v>
      </c>
      <c r="AQ207" s="42">
        <v>0</v>
      </c>
      <c r="AR207" s="68">
        <v>0</v>
      </c>
      <c r="AS207" s="71">
        <f t="shared" si="282"/>
        <v>0</v>
      </c>
      <c r="AT207" s="60">
        <f>+(0)+(0)+(0)+(54.6)+(30)+(0)</f>
        <v>84.6</v>
      </c>
      <c r="AU207" s="60">
        <f>+(0)+(216)+(0)+(0)+(0)+(0)</f>
        <v>216</v>
      </c>
      <c r="AV207" s="94">
        <v>120</v>
      </c>
      <c r="AW207" s="71">
        <f t="shared" si="283"/>
        <v>180.60000000000002</v>
      </c>
      <c r="AX207" s="60">
        <f>+(0)+(0)+(108)+(78)</f>
        <v>186</v>
      </c>
      <c r="AY207" s="113">
        <f>+(0)+(0)+(96)+(0)+(0)+(0)+(0)+(0)</f>
        <v>96</v>
      </c>
      <c r="AZ207" s="72">
        <v>120</v>
      </c>
      <c r="BA207" s="72">
        <f t="shared" si="347"/>
        <v>342.6</v>
      </c>
      <c r="BB207" s="135">
        <f>+(0)+(21)+(0)+(0)</f>
        <v>21</v>
      </c>
      <c r="BC207" s="135">
        <f>+(0)+(0)+(0)+(108)+(0)+(0)+(0)+(0)</f>
        <v>108</v>
      </c>
      <c r="BD207" s="50">
        <v>120</v>
      </c>
      <c r="BE207" s="50">
        <f t="shared" si="349"/>
        <v>351.6</v>
      </c>
      <c r="BG207" s="139">
        <v>0</v>
      </c>
      <c r="BH207" s="139">
        <v>0</v>
      </c>
      <c r="BI207" s="139">
        <v>0</v>
      </c>
      <c r="BJ207" s="139">
        <v>0</v>
      </c>
      <c r="BK207" s="139">
        <v>0</v>
      </c>
      <c r="BL207" s="139">
        <v>0</v>
      </c>
      <c r="BM207" s="139">
        <v>0</v>
      </c>
      <c r="BN207" s="139">
        <v>0</v>
      </c>
      <c r="BO207" s="139">
        <v>0</v>
      </c>
      <c r="BP207" s="139">
        <v>0</v>
      </c>
      <c r="BQ207" s="139">
        <v>0</v>
      </c>
      <c r="BR207" s="139">
        <v>0</v>
      </c>
      <c r="BS207" s="206">
        <v>120</v>
      </c>
      <c r="BT207" s="205">
        <f t="shared" ref="BT207" si="354">+BE207+SUM(BG207:BJ207)+SUM(BK207:BR207)-BS207</f>
        <v>231.60000000000002</v>
      </c>
      <c r="BU207" s="153">
        <f t="shared" ref="BU207" si="355">SUM(AA207:AD207)+AE207+AJ207+AN207+AR207+AV207+AZ207+BD207</f>
        <v>360</v>
      </c>
    </row>
    <row r="208" spans="1:73" ht="25.8" thickBot="1" x14ac:dyDescent="0.65">
      <c r="A208" s="53">
        <v>200</v>
      </c>
      <c r="B208" s="143" t="s">
        <v>301</v>
      </c>
      <c r="C208" s="144" t="s">
        <v>168</v>
      </c>
      <c r="D208" s="145">
        <v>43952</v>
      </c>
      <c r="E208" s="146">
        <v>3</v>
      </c>
      <c r="F208" s="146">
        <f t="shared" si="341"/>
        <v>1599.9900000000002</v>
      </c>
      <c r="G208" s="146">
        <f t="shared" si="342"/>
        <v>840</v>
      </c>
      <c r="H208" s="147">
        <f t="shared" si="343"/>
        <v>2439.9900000000002</v>
      </c>
      <c r="I208" s="148">
        <v>12</v>
      </c>
      <c r="J208" s="81">
        <v>12</v>
      </c>
      <c r="L208" s="149">
        <v>46631</v>
      </c>
      <c r="M208" s="150"/>
      <c r="N208" s="151" t="str">
        <f t="shared" ref="N208:N213" ca="1" si="356">IF($B$2&lt;L208,"O.K.","A L E R T A ")</f>
        <v>O.K.</v>
      </c>
      <c r="Z208" s="3" t="s">
        <v>301</v>
      </c>
      <c r="AA208" s="34">
        <v>0</v>
      </c>
      <c r="AB208" s="34">
        <v>0</v>
      </c>
      <c r="AC208" s="35">
        <v>0</v>
      </c>
      <c r="AD208" s="35">
        <v>0</v>
      </c>
      <c r="AE208" s="35">
        <v>0</v>
      </c>
      <c r="AF208" s="24">
        <v>0</v>
      </c>
      <c r="AG208" s="21">
        <f t="shared" si="345"/>
        <v>0</v>
      </c>
      <c r="AH208" s="42">
        <v>0</v>
      </c>
      <c r="AI208" s="42">
        <f>+(0)+(0)+(0)+(0)+(0)+(162)</f>
        <v>162</v>
      </c>
      <c r="AJ208" s="35">
        <v>120</v>
      </c>
      <c r="AK208" s="17">
        <f t="shared" si="309"/>
        <v>42</v>
      </c>
      <c r="AL208" s="42">
        <f>+(0)+(0)+(0)+(0)+(0)+(0)</f>
        <v>0</v>
      </c>
      <c r="AM208" s="42">
        <f>+(0)+(0)+(264)+(0)+(0)+(0)</f>
        <v>264</v>
      </c>
      <c r="AN208" s="35">
        <v>120</v>
      </c>
      <c r="AO208" s="24">
        <f t="shared" si="296"/>
        <v>186</v>
      </c>
      <c r="AP208" s="42">
        <f t="shared" si="310"/>
        <v>0</v>
      </c>
      <c r="AQ208" s="42">
        <f>+(0)+(0)+(216)+(0)+(174)+(96)</f>
        <v>486</v>
      </c>
      <c r="AR208" s="68">
        <v>120</v>
      </c>
      <c r="AS208" s="71">
        <f t="shared" si="282"/>
        <v>552</v>
      </c>
      <c r="AT208" s="60">
        <f t="shared" si="311"/>
        <v>0</v>
      </c>
      <c r="AU208" s="60">
        <f>+(0)+(204)+(0)+(0)+(0)+(0)</f>
        <v>204</v>
      </c>
      <c r="AV208" s="94">
        <v>120</v>
      </c>
      <c r="AW208" s="71">
        <f t="shared" si="283"/>
        <v>636</v>
      </c>
      <c r="AX208" s="60">
        <f t="shared" si="346"/>
        <v>0</v>
      </c>
      <c r="AY208" s="113">
        <f t="shared" si="252"/>
        <v>0</v>
      </c>
      <c r="AZ208" s="72">
        <v>120</v>
      </c>
      <c r="BA208" s="72">
        <f t="shared" si="347"/>
        <v>516</v>
      </c>
      <c r="BB208" s="135">
        <f t="shared" si="348"/>
        <v>0</v>
      </c>
      <c r="BC208" s="135">
        <f t="shared" si="344"/>
        <v>0</v>
      </c>
      <c r="BD208" s="50">
        <v>120</v>
      </c>
      <c r="BE208" s="50">
        <f t="shared" si="349"/>
        <v>396</v>
      </c>
      <c r="BG208" s="139">
        <v>0</v>
      </c>
      <c r="BH208" s="139">
        <v>0</v>
      </c>
      <c r="BI208" s="139">
        <v>0</v>
      </c>
      <c r="BJ208" s="139">
        <v>0</v>
      </c>
      <c r="BK208" s="139">
        <v>0</v>
      </c>
      <c r="BL208" s="139">
        <v>0</v>
      </c>
      <c r="BM208" s="139">
        <v>0</v>
      </c>
      <c r="BN208" s="139">
        <v>0</v>
      </c>
      <c r="BO208" s="139">
        <v>0</v>
      </c>
      <c r="BP208" s="139">
        <v>0</v>
      </c>
      <c r="BQ208" s="139">
        <v>0</v>
      </c>
      <c r="BR208" s="139">
        <v>0</v>
      </c>
      <c r="BS208" s="206">
        <v>120</v>
      </c>
      <c r="BT208" s="205">
        <f t="shared" si="330"/>
        <v>276</v>
      </c>
      <c r="BU208" s="153">
        <f t="shared" si="328"/>
        <v>840</v>
      </c>
    </row>
    <row r="209" spans="1:73" ht="25.8" thickBot="1" x14ac:dyDescent="0.65">
      <c r="A209" s="53">
        <v>201</v>
      </c>
      <c r="B209" s="99" t="s">
        <v>288</v>
      </c>
      <c r="C209" s="100" t="s">
        <v>164</v>
      </c>
      <c r="D209" s="108">
        <v>43160</v>
      </c>
      <c r="E209" s="101">
        <v>3</v>
      </c>
      <c r="F209" s="101">
        <f t="shared" si="341"/>
        <v>1599.9900000000002</v>
      </c>
      <c r="G209" s="101">
        <f t="shared" si="342"/>
        <v>261</v>
      </c>
      <c r="H209" s="102">
        <f t="shared" si="343"/>
        <v>1860.9900000000002</v>
      </c>
      <c r="I209" s="103">
        <v>13</v>
      </c>
      <c r="J209" s="81">
        <v>13</v>
      </c>
      <c r="L209" s="96">
        <v>46082</v>
      </c>
      <c r="M209" s="97"/>
      <c r="N209" s="98" t="str">
        <f t="shared" ca="1" si="356"/>
        <v>O.K.</v>
      </c>
      <c r="Z209" s="3" t="s">
        <v>288</v>
      </c>
      <c r="AA209" s="34">
        <v>0</v>
      </c>
      <c r="AB209" s="34">
        <v>0</v>
      </c>
      <c r="AC209" s="35">
        <v>0</v>
      </c>
      <c r="AD209" s="35">
        <v>0</v>
      </c>
      <c r="AE209" s="35">
        <v>0</v>
      </c>
      <c r="AF209" s="24">
        <v>0</v>
      </c>
      <c r="AG209" s="21">
        <f t="shared" si="345"/>
        <v>0</v>
      </c>
      <c r="AH209" s="42">
        <v>54</v>
      </c>
      <c r="AI209" s="42">
        <f t="shared" ref="AI209:AI360" si="357">+(0)+(0)+(0)+(0)+(0)+(0)</f>
        <v>0</v>
      </c>
      <c r="AJ209" s="35">
        <v>54</v>
      </c>
      <c r="AK209" s="17">
        <f t="shared" si="309"/>
        <v>0</v>
      </c>
      <c r="AL209" s="42">
        <f>+(0)+(0)+(0)+(0)+(0)+(0)</f>
        <v>0</v>
      </c>
      <c r="AM209" s="42">
        <f>+(0)+(0)+(0)+(0)+(0)+(0)</f>
        <v>0</v>
      </c>
      <c r="AN209" s="35">
        <v>0</v>
      </c>
      <c r="AO209" s="65">
        <f t="shared" si="296"/>
        <v>0</v>
      </c>
      <c r="AP209" s="42">
        <f t="shared" si="310"/>
        <v>0</v>
      </c>
      <c r="AQ209" s="42">
        <f t="shared" si="310"/>
        <v>0</v>
      </c>
      <c r="AR209" s="68">
        <v>0</v>
      </c>
      <c r="AS209" s="71">
        <f t="shared" si="282"/>
        <v>0</v>
      </c>
      <c r="AT209" s="60">
        <f>+(0)+(0)+(0)+(78)+(0)+(0)</f>
        <v>78</v>
      </c>
      <c r="AU209" s="60">
        <f t="shared" si="311"/>
        <v>0</v>
      </c>
      <c r="AV209" s="94">
        <v>78</v>
      </c>
      <c r="AW209" s="71">
        <f t="shared" si="283"/>
        <v>0</v>
      </c>
      <c r="AX209" s="60">
        <f>+(0)+(0)+(0)+(78)</f>
        <v>78</v>
      </c>
      <c r="AY209" s="113">
        <f t="shared" ref="AY209:AY211" si="358">+(0)+(0)+(0)+(0)+(0)+(0)+(0)+(0)</f>
        <v>0</v>
      </c>
      <c r="AZ209" s="72">
        <v>78</v>
      </c>
      <c r="BA209" s="72">
        <f t="shared" si="347"/>
        <v>0</v>
      </c>
      <c r="BB209" s="135">
        <f>+(0)+(30)+(0)+(0)</f>
        <v>30</v>
      </c>
      <c r="BC209" s="135">
        <f>+(0)+(0)+(0)+(0)+(0)+(0)+(0)+(21)</f>
        <v>21</v>
      </c>
      <c r="BD209" s="50">
        <v>51</v>
      </c>
      <c r="BE209" s="50">
        <f t="shared" si="349"/>
        <v>0</v>
      </c>
      <c r="BG209" s="139">
        <v>0</v>
      </c>
      <c r="BH209" s="139">
        <v>0</v>
      </c>
      <c r="BI209" s="139">
        <v>0</v>
      </c>
      <c r="BJ209" s="139">
        <v>0</v>
      </c>
      <c r="BK209" s="139">
        <v>0</v>
      </c>
      <c r="BL209" s="139">
        <v>0</v>
      </c>
      <c r="BM209" s="139">
        <v>0</v>
      </c>
      <c r="BN209" s="139">
        <v>0</v>
      </c>
      <c r="BO209" s="139">
        <v>0</v>
      </c>
      <c r="BP209" s="139">
        <v>0</v>
      </c>
      <c r="BQ209" s="139">
        <v>0</v>
      </c>
      <c r="BR209" s="139">
        <v>0</v>
      </c>
      <c r="BS209" s="206">
        <v>0</v>
      </c>
      <c r="BT209" s="205">
        <f t="shared" si="330"/>
        <v>0</v>
      </c>
      <c r="BU209" s="153">
        <f t="shared" si="328"/>
        <v>261</v>
      </c>
    </row>
    <row r="210" spans="1:73" ht="25.8" thickBot="1" x14ac:dyDescent="0.65">
      <c r="A210" s="53">
        <v>202</v>
      </c>
      <c r="B210" s="99" t="s">
        <v>368</v>
      </c>
      <c r="C210" s="100" t="s">
        <v>165</v>
      </c>
      <c r="D210" s="108">
        <v>44774</v>
      </c>
      <c r="E210" s="101">
        <v>1</v>
      </c>
      <c r="F210" s="101">
        <f t="shared" ref="F210" si="359">+E210*$C$1</f>
        <v>533.33000000000004</v>
      </c>
      <c r="G210" s="101">
        <f>+BU210</f>
        <v>600</v>
      </c>
      <c r="H210" s="102">
        <f t="shared" si="343"/>
        <v>1133.33</v>
      </c>
      <c r="I210" s="103">
        <v>14</v>
      </c>
      <c r="J210" s="81">
        <v>14</v>
      </c>
      <c r="L210" s="96">
        <v>46106</v>
      </c>
      <c r="M210" s="97"/>
      <c r="N210" s="98" t="str">
        <f t="shared" ca="1" si="356"/>
        <v>O.K.</v>
      </c>
      <c r="Z210" s="3" t="s">
        <v>368</v>
      </c>
      <c r="AA210" s="34">
        <v>0</v>
      </c>
      <c r="AB210" s="34">
        <v>0</v>
      </c>
      <c r="AC210" s="35">
        <v>0</v>
      </c>
      <c r="AD210" s="35">
        <v>0</v>
      </c>
      <c r="AE210" s="35">
        <v>0</v>
      </c>
      <c r="AF210" s="24">
        <v>0</v>
      </c>
      <c r="AG210" s="21">
        <f t="shared" si="345"/>
        <v>0</v>
      </c>
      <c r="AH210" s="42">
        <v>0</v>
      </c>
      <c r="AI210" s="42">
        <v>0</v>
      </c>
      <c r="AJ210" s="35">
        <v>0</v>
      </c>
      <c r="AK210" s="17">
        <f t="shared" si="309"/>
        <v>0</v>
      </c>
      <c r="AL210" s="42">
        <v>0</v>
      </c>
      <c r="AM210" s="42">
        <v>0</v>
      </c>
      <c r="AN210" s="35">
        <v>0</v>
      </c>
      <c r="AO210" s="65">
        <f t="shared" si="296"/>
        <v>0</v>
      </c>
      <c r="AP210" s="42">
        <v>0</v>
      </c>
      <c r="AQ210" s="42">
        <v>0</v>
      </c>
      <c r="AR210" s="68">
        <v>0</v>
      </c>
      <c r="AS210" s="71">
        <f t="shared" si="282"/>
        <v>0</v>
      </c>
      <c r="AT210" s="60">
        <f>+(0)+(0)+(0)+(0)+(54)+(0)</f>
        <v>54</v>
      </c>
      <c r="AU210" s="60">
        <f>+(0)+(348)+(0)+(0)+(0)+(0)</f>
        <v>348</v>
      </c>
      <c r="AV210" s="94">
        <v>150</v>
      </c>
      <c r="AW210" s="71">
        <f t="shared" si="283"/>
        <v>252</v>
      </c>
      <c r="AX210" s="60">
        <f>+(0)+(0)+(54)+(444.6)</f>
        <v>498.6</v>
      </c>
      <c r="AY210" s="113">
        <f>+(37.8)+(0)+(0)+(0)+(0)+(120)+(0)+(0)</f>
        <v>157.80000000000001</v>
      </c>
      <c r="AZ210" s="72">
        <v>150</v>
      </c>
      <c r="BA210" s="72">
        <f t="shared" si="347"/>
        <v>758.40000000000009</v>
      </c>
      <c r="BB210" s="135">
        <f t="shared" si="348"/>
        <v>0</v>
      </c>
      <c r="BC210" s="135">
        <f>+(21)+(138)+(0)+(0)+(0)+(0)+(0)+(0)</f>
        <v>159</v>
      </c>
      <c r="BD210" s="50">
        <v>150</v>
      </c>
      <c r="BE210" s="50">
        <f t="shared" si="349"/>
        <v>767.40000000000009</v>
      </c>
      <c r="BG210" s="139">
        <v>0</v>
      </c>
      <c r="BH210" s="207">
        <v>216</v>
      </c>
      <c r="BI210" s="139">
        <v>0</v>
      </c>
      <c r="BJ210" s="139">
        <v>0</v>
      </c>
      <c r="BK210" s="139">
        <v>0</v>
      </c>
      <c r="BL210" s="139">
        <v>0</v>
      </c>
      <c r="BM210" s="139">
        <v>0</v>
      </c>
      <c r="BN210" s="139">
        <v>0</v>
      </c>
      <c r="BO210" s="139">
        <v>0</v>
      </c>
      <c r="BP210" s="139">
        <v>0</v>
      </c>
      <c r="BQ210" s="139">
        <v>0</v>
      </c>
      <c r="BR210" s="139">
        <v>0</v>
      </c>
      <c r="BS210" s="206">
        <v>150</v>
      </c>
      <c r="BT210" s="205">
        <f t="shared" si="330"/>
        <v>833.40000000000009</v>
      </c>
      <c r="BU210" s="153">
        <f t="shared" si="328"/>
        <v>600</v>
      </c>
    </row>
    <row r="211" spans="1:73" ht="25.8" thickBot="1" x14ac:dyDescent="0.65">
      <c r="A211" s="53">
        <v>203</v>
      </c>
      <c r="B211" s="143" t="s">
        <v>92</v>
      </c>
      <c r="C211" s="144" t="s">
        <v>165</v>
      </c>
      <c r="D211" s="143" t="s">
        <v>135</v>
      </c>
      <c r="E211" s="146">
        <v>13</v>
      </c>
      <c r="F211" s="146">
        <f t="shared" si="341"/>
        <v>6933.2900000000009</v>
      </c>
      <c r="G211" s="146">
        <f t="shared" si="342"/>
        <v>3189</v>
      </c>
      <c r="H211" s="147">
        <f t="shared" si="343"/>
        <v>10122.290000000001</v>
      </c>
      <c r="I211" s="148">
        <v>3</v>
      </c>
      <c r="J211" s="81">
        <v>3</v>
      </c>
      <c r="L211" s="149">
        <v>46478</v>
      </c>
      <c r="M211" s="150"/>
      <c r="N211" s="151" t="str">
        <f t="shared" ca="1" si="356"/>
        <v>O.K.</v>
      </c>
      <c r="Z211" s="3" t="s">
        <v>92</v>
      </c>
      <c r="AA211" s="34">
        <v>1698</v>
      </c>
      <c r="AB211" s="34">
        <v>150</v>
      </c>
      <c r="AC211" s="35">
        <v>96</v>
      </c>
      <c r="AD211" s="35">
        <v>96</v>
      </c>
      <c r="AE211" s="35">
        <v>150</v>
      </c>
      <c r="AF211" s="24">
        <v>156</v>
      </c>
      <c r="AG211" s="21">
        <f t="shared" si="345"/>
        <v>6</v>
      </c>
      <c r="AH211" s="42">
        <v>0</v>
      </c>
      <c r="AI211" s="42">
        <f>+(0)+(0)+(0)+(0)+(156)+(162)</f>
        <v>318</v>
      </c>
      <c r="AJ211" s="35">
        <v>150</v>
      </c>
      <c r="AK211" s="17">
        <f t="shared" si="309"/>
        <v>174</v>
      </c>
      <c r="AL211" s="42">
        <f>+(0)+(0)+(0)+(0)+(0)+(0)</f>
        <v>0</v>
      </c>
      <c r="AM211" s="42">
        <f>+(0)+(0)+(0)+(0)+(0)+(0)</f>
        <v>0</v>
      </c>
      <c r="AN211" s="35">
        <v>150</v>
      </c>
      <c r="AO211" s="24">
        <f t="shared" si="296"/>
        <v>24</v>
      </c>
      <c r="AP211" s="42">
        <f t="shared" si="310"/>
        <v>0</v>
      </c>
      <c r="AQ211" s="42">
        <f>+(0)+(0)+(117)+(0)+(0)+(96)</f>
        <v>213</v>
      </c>
      <c r="AR211" s="68">
        <v>150</v>
      </c>
      <c r="AS211" s="71">
        <f t="shared" si="282"/>
        <v>87</v>
      </c>
      <c r="AT211" s="60">
        <f>+(108)+(0)+(0)+(0)+(54)+(0)</f>
        <v>162</v>
      </c>
      <c r="AU211" s="60">
        <f>+(0)+(108)+(0)+(0)+(0)+(0)</f>
        <v>108</v>
      </c>
      <c r="AV211" s="94">
        <v>150</v>
      </c>
      <c r="AW211" s="71">
        <f t="shared" si="283"/>
        <v>207</v>
      </c>
      <c r="AX211" s="60">
        <f>+(0)+(96)+(0)+(96)</f>
        <v>192</v>
      </c>
      <c r="AY211" s="113">
        <f t="shared" si="358"/>
        <v>0</v>
      </c>
      <c r="AZ211" s="72">
        <v>150</v>
      </c>
      <c r="BA211" s="72">
        <f t="shared" si="347"/>
        <v>249</v>
      </c>
      <c r="BB211" s="135">
        <f t="shared" si="348"/>
        <v>0</v>
      </c>
      <c r="BC211" s="135">
        <f t="shared" si="344"/>
        <v>0</v>
      </c>
      <c r="BD211" s="50">
        <v>150</v>
      </c>
      <c r="BE211" s="50">
        <f t="shared" ref="BE211:BE213" si="360">(BA211+BB211+BC211)-BD211</f>
        <v>99</v>
      </c>
      <c r="BG211" s="139">
        <v>0</v>
      </c>
      <c r="BH211" s="139">
        <v>0</v>
      </c>
      <c r="BI211" s="139">
        <v>0</v>
      </c>
      <c r="BJ211" s="139">
        <v>0</v>
      </c>
      <c r="BK211" s="139">
        <v>0</v>
      </c>
      <c r="BL211" s="139">
        <v>0</v>
      </c>
      <c r="BM211" s="139">
        <v>0</v>
      </c>
      <c r="BN211" s="139">
        <v>0</v>
      </c>
      <c r="BO211" s="139">
        <v>0</v>
      </c>
      <c r="BP211" s="139">
        <v>0</v>
      </c>
      <c r="BQ211" s="139">
        <v>0</v>
      </c>
      <c r="BR211" s="139">
        <v>0</v>
      </c>
      <c r="BS211" s="206">
        <v>99</v>
      </c>
      <c r="BT211" s="205">
        <f t="shared" si="330"/>
        <v>0</v>
      </c>
      <c r="BU211" s="153">
        <f t="shared" si="328"/>
        <v>3189</v>
      </c>
    </row>
    <row r="212" spans="1:73" ht="25.8" thickBot="1" x14ac:dyDescent="0.65">
      <c r="A212" s="53">
        <v>204</v>
      </c>
      <c r="B212" s="99" t="s">
        <v>385</v>
      </c>
      <c r="C212" s="100" t="s">
        <v>166</v>
      </c>
      <c r="D212" s="108">
        <v>44742</v>
      </c>
      <c r="E212" s="101">
        <v>1</v>
      </c>
      <c r="F212" s="101">
        <f t="shared" si="341"/>
        <v>533.33000000000004</v>
      </c>
      <c r="G212" s="101">
        <f t="shared" si="342"/>
        <v>696</v>
      </c>
      <c r="H212" s="102">
        <f t="shared" si="343"/>
        <v>1229.33</v>
      </c>
      <c r="I212" s="103">
        <v>14</v>
      </c>
      <c r="J212" s="81">
        <v>14</v>
      </c>
      <c r="L212" s="96">
        <v>46203</v>
      </c>
      <c r="M212" s="97"/>
      <c r="N212" s="98" t="str">
        <f t="shared" ca="1" si="356"/>
        <v>O.K.</v>
      </c>
      <c r="Z212" s="3" t="s">
        <v>385</v>
      </c>
      <c r="AA212" s="34">
        <v>0</v>
      </c>
      <c r="AB212" s="34">
        <v>0</v>
      </c>
      <c r="AC212" s="35">
        <v>0</v>
      </c>
      <c r="AD212" s="35">
        <v>0</v>
      </c>
      <c r="AE212" s="35">
        <v>0</v>
      </c>
      <c r="AF212" s="24">
        <v>0</v>
      </c>
      <c r="AG212" s="21">
        <f t="shared" si="345"/>
        <v>0</v>
      </c>
      <c r="AH212" s="42">
        <v>0</v>
      </c>
      <c r="AI212" s="42">
        <v>0</v>
      </c>
      <c r="AJ212" s="35">
        <v>0</v>
      </c>
      <c r="AK212" s="17">
        <f t="shared" si="309"/>
        <v>0</v>
      </c>
      <c r="AL212" s="42">
        <v>0</v>
      </c>
      <c r="AM212" s="42">
        <v>0</v>
      </c>
      <c r="AN212" s="35">
        <v>0</v>
      </c>
      <c r="AO212" s="24">
        <f t="shared" si="296"/>
        <v>0</v>
      </c>
      <c r="AP212" s="42">
        <f t="shared" si="310"/>
        <v>0</v>
      </c>
      <c r="AQ212" s="42">
        <f>+(0)+(0)+(0)+(0)+(0)+(96)</f>
        <v>96</v>
      </c>
      <c r="AR212" s="68">
        <v>96</v>
      </c>
      <c r="AS212" s="71">
        <f t="shared" si="282"/>
        <v>0</v>
      </c>
      <c r="AT212" s="60">
        <f>+(108)+(0)+(0)+(0)+(54)+(0)</f>
        <v>162</v>
      </c>
      <c r="AU212" s="60">
        <f>+(211.8)+(0)+(0)+(0)+(0)+(0)</f>
        <v>211.8</v>
      </c>
      <c r="AV212" s="94">
        <v>150</v>
      </c>
      <c r="AW212" s="71">
        <f t="shared" ref="AW212" si="361">+AS212+AT212+AU212-AV212</f>
        <v>223.8</v>
      </c>
      <c r="AX212" s="60">
        <f>+(0)+(253.8)+(30)+(54)</f>
        <v>337.8</v>
      </c>
      <c r="AY212" s="113">
        <f>+(0)+(0)+(0)+(0)+(0)+(174)+(0)+(0)</f>
        <v>174</v>
      </c>
      <c r="AZ212" s="72">
        <v>150</v>
      </c>
      <c r="BA212" s="72">
        <f t="shared" si="347"/>
        <v>585.6</v>
      </c>
      <c r="BB212" s="135">
        <f t="shared" si="348"/>
        <v>0</v>
      </c>
      <c r="BC212" s="135">
        <f>+(0)+(0)+(120)+(0)+(0)+(0)+(0)+(240)</f>
        <v>360</v>
      </c>
      <c r="BD212" s="50">
        <v>150</v>
      </c>
      <c r="BE212" s="50">
        <f t="shared" si="360"/>
        <v>795.6</v>
      </c>
      <c r="BG212" s="139">
        <v>0</v>
      </c>
      <c r="BH212" s="207">
        <v>120</v>
      </c>
      <c r="BI212" s="139">
        <v>0</v>
      </c>
      <c r="BJ212" s="139">
        <v>0</v>
      </c>
      <c r="BK212" s="139">
        <v>0</v>
      </c>
      <c r="BL212" s="139">
        <v>0</v>
      </c>
      <c r="BM212" s="139">
        <v>0</v>
      </c>
      <c r="BN212" s="139">
        <v>0</v>
      </c>
      <c r="BO212" s="139">
        <v>0</v>
      </c>
      <c r="BP212" s="139">
        <v>0</v>
      </c>
      <c r="BQ212" s="139">
        <v>0</v>
      </c>
      <c r="BR212" s="139">
        <v>0</v>
      </c>
      <c r="BS212" s="206">
        <v>150</v>
      </c>
      <c r="BT212" s="205">
        <f t="shared" si="330"/>
        <v>765.6</v>
      </c>
      <c r="BU212" s="153">
        <f t="shared" si="328"/>
        <v>696</v>
      </c>
    </row>
    <row r="213" spans="1:73" ht="25.8" thickBot="1" x14ac:dyDescent="0.65">
      <c r="A213" s="53">
        <v>205</v>
      </c>
      <c r="B213" s="99" t="s">
        <v>254</v>
      </c>
      <c r="C213" s="100" t="s">
        <v>165</v>
      </c>
      <c r="D213" s="108">
        <v>43160</v>
      </c>
      <c r="E213" s="101">
        <v>3</v>
      </c>
      <c r="F213" s="101">
        <f t="shared" si="341"/>
        <v>1599.9900000000002</v>
      </c>
      <c r="G213" s="101">
        <f t="shared" ref="G213" si="362">+BU213</f>
        <v>1296</v>
      </c>
      <c r="H213" s="102">
        <f t="shared" ref="H213" si="363">+F213+G213</f>
        <v>2895.9900000000002</v>
      </c>
      <c r="I213" s="103">
        <v>12</v>
      </c>
      <c r="J213" s="81">
        <v>12</v>
      </c>
      <c r="L213" s="96">
        <v>46082</v>
      </c>
      <c r="M213" s="97"/>
      <c r="N213" s="98" t="str">
        <f t="shared" ca="1" si="356"/>
        <v>O.K.</v>
      </c>
      <c r="Z213" s="3" t="s">
        <v>254</v>
      </c>
      <c r="AA213" s="34">
        <v>0</v>
      </c>
      <c r="AB213" s="34">
        <v>0</v>
      </c>
      <c r="AC213" s="35">
        <v>0</v>
      </c>
      <c r="AD213" s="35">
        <v>96</v>
      </c>
      <c r="AE213" s="35">
        <v>150</v>
      </c>
      <c r="AF213" s="24">
        <v>187.2</v>
      </c>
      <c r="AG213" s="21">
        <f t="shared" si="345"/>
        <v>37.199999999999989</v>
      </c>
      <c r="AH213" s="42">
        <v>75.599999999999994</v>
      </c>
      <c r="AI213" s="42">
        <f>+(0)+(54)+(0)+(0)+(78)+(162)</f>
        <v>294</v>
      </c>
      <c r="AJ213" s="35">
        <v>150</v>
      </c>
      <c r="AK213" s="17">
        <f t="shared" si="309"/>
        <v>256.8</v>
      </c>
      <c r="AL213" s="42">
        <f>+(0)+(0)+(132.6)+(0)+(78)+(0)</f>
        <v>210.6</v>
      </c>
      <c r="AM213" s="42">
        <f>+(0)+(0)+(0)+(0)+(0)+(0)</f>
        <v>0</v>
      </c>
      <c r="AN213" s="35">
        <v>150</v>
      </c>
      <c r="AO213" s="24">
        <f t="shared" si="296"/>
        <v>317.39999999999998</v>
      </c>
      <c r="AP213" s="42">
        <f>+(0)+(108)+(0)+(0)+(0)+(0)</f>
        <v>108</v>
      </c>
      <c r="AQ213" s="42">
        <f>+(0)+(37.8)+(67.2)+(0)+(0)+(192)</f>
        <v>297</v>
      </c>
      <c r="AR213" s="68">
        <v>150</v>
      </c>
      <c r="AS213" s="71">
        <f t="shared" si="282"/>
        <v>572.4</v>
      </c>
      <c r="AT213" s="60">
        <f>+(0)+(0)+(0)+(186)+(108)+(0)</f>
        <v>294</v>
      </c>
      <c r="AU213" s="60">
        <f>+(0)+(21)+(0)+(0)+(0)+(0)</f>
        <v>21</v>
      </c>
      <c r="AV213" s="94">
        <v>150</v>
      </c>
      <c r="AW213" s="71">
        <f t="shared" si="283"/>
        <v>737.4</v>
      </c>
      <c r="AX213" s="60">
        <f>+(0)+(0)+(30)+(96)</f>
        <v>126</v>
      </c>
      <c r="AY213" s="113">
        <f>+(0)+(0)+(78)+(0)+(78)+(0)+(0)+(120)</f>
        <v>276</v>
      </c>
      <c r="AZ213" s="71">
        <v>150</v>
      </c>
      <c r="BA213" s="71">
        <f>(+AW213+AX213+AY213)-AZ213</f>
        <v>989.40000000000009</v>
      </c>
      <c r="BB213" s="135">
        <f>+(0)+(0)+(0)+(67.2)</f>
        <v>67.2</v>
      </c>
      <c r="BC213" s="135">
        <f>+(0)+(0)+(0)+(0)+(0)+(0)+(294)+(0)</f>
        <v>294</v>
      </c>
      <c r="BD213" s="50">
        <v>150</v>
      </c>
      <c r="BE213" s="50">
        <f t="shared" si="360"/>
        <v>1200.6000000000001</v>
      </c>
      <c r="BG213" s="139">
        <v>0</v>
      </c>
      <c r="BH213" s="139">
        <v>0</v>
      </c>
      <c r="BI213" s="139">
        <v>0</v>
      </c>
      <c r="BJ213" s="139">
        <v>0</v>
      </c>
      <c r="BK213" s="139">
        <v>0</v>
      </c>
      <c r="BL213" s="139">
        <v>0</v>
      </c>
      <c r="BM213" s="139">
        <v>0</v>
      </c>
      <c r="BN213" s="139">
        <v>0</v>
      </c>
      <c r="BO213" s="139">
        <v>0</v>
      </c>
      <c r="BP213" s="139">
        <v>0</v>
      </c>
      <c r="BQ213" s="139">
        <v>0</v>
      </c>
      <c r="BR213" s="139">
        <v>0</v>
      </c>
      <c r="BS213" s="206">
        <v>150</v>
      </c>
      <c r="BT213" s="205">
        <f t="shared" si="330"/>
        <v>1050.6000000000001</v>
      </c>
      <c r="BU213" s="153">
        <f t="shared" si="328"/>
        <v>1296</v>
      </c>
    </row>
    <row r="215" spans="1:73" x14ac:dyDescent="0.3">
      <c r="H215" s="40"/>
      <c r="N215" s="40"/>
    </row>
    <row r="216" spans="1:73" x14ac:dyDescent="0.3">
      <c r="H216" s="40"/>
      <c r="N216" s="40"/>
    </row>
    <row r="217" spans="1:73" ht="15" x14ac:dyDescent="0.35">
      <c r="H217" s="40"/>
      <c r="K217" s="121" t="s">
        <v>300</v>
      </c>
      <c r="N217" s="40"/>
    </row>
    <row r="218" spans="1:73" x14ac:dyDescent="0.3">
      <c r="H218" s="40"/>
      <c r="N218" s="40"/>
    </row>
    <row r="219" spans="1:73" ht="21" x14ac:dyDescent="0.4">
      <c r="B219" s="14" t="s">
        <v>227</v>
      </c>
      <c r="H219" s="40"/>
      <c r="K219" s="208" t="s">
        <v>309</v>
      </c>
      <c r="N219" s="40"/>
    </row>
    <row r="220" spans="1:73" ht="15" thickBot="1" x14ac:dyDescent="0.35">
      <c r="H220" s="40"/>
      <c r="K220">
        <f>COUNTIF(K9:K213,K219)</f>
        <v>32</v>
      </c>
      <c r="N220" s="40"/>
    </row>
    <row r="221" spans="1:73" ht="22.2" thickBot="1" x14ac:dyDescent="0.5">
      <c r="B221" s="3" t="s">
        <v>194</v>
      </c>
      <c r="C221" s="4" t="s">
        <v>166</v>
      </c>
      <c r="D221" s="11">
        <v>42620</v>
      </c>
      <c r="E221" s="5">
        <v>0</v>
      </c>
      <c r="F221" s="5">
        <f t="shared" ref="F221" si="364">+E221*$C$1</f>
        <v>0</v>
      </c>
      <c r="G221" s="5">
        <f t="shared" ref="G221:G245" si="365">+BU221</f>
        <v>0</v>
      </c>
      <c r="H221" s="41">
        <f t="shared" ref="H221:H239" si="366">+F221+G221</f>
        <v>0</v>
      </c>
      <c r="I221" s="6">
        <v>15</v>
      </c>
      <c r="J221" s="79"/>
      <c r="K221" s="7"/>
      <c r="L221" s="8">
        <v>43350</v>
      </c>
      <c r="M221" s="7"/>
      <c r="N221" s="46" t="s">
        <v>302</v>
      </c>
      <c r="Z221" s="3" t="s">
        <v>194</v>
      </c>
      <c r="AA221" s="34">
        <v>0</v>
      </c>
      <c r="AB221" s="34">
        <v>96</v>
      </c>
      <c r="AC221" s="35">
        <v>0</v>
      </c>
      <c r="AD221" s="35"/>
      <c r="AE221" s="35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26"/>
      <c r="BC221" s="126"/>
      <c r="BD221" s="126"/>
      <c r="BE221" s="126"/>
      <c r="BF221" s="126"/>
      <c r="BG221" s="126"/>
      <c r="BH221" s="126"/>
      <c r="BI221" s="126"/>
      <c r="BJ221" s="126"/>
      <c r="BK221" s="126"/>
      <c r="BL221" s="126"/>
      <c r="BM221" s="126"/>
      <c r="BN221" s="126"/>
      <c r="BO221" s="126"/>
      <c r="BP221" s="126"/>
      <c r="BQ221" s="126"/>
      <c r="BR221" s="126"/>
      <c r="BS221" s="126"/>
      <c r="BT221" s="126"/>
      <c r="BU221" s="18"/>
    </row>
    <row r="222" spans="1:73" ht="22.2" thickBot="1" x14ac:dyDescent="0.5">
      <c r="B222" s="3" t="s">
        <v>14</v>
      </c>
      <c r="C222" s="4" t="s">
        <v>165</v>
      </c>
      <c r="D222" s="3" t="s">
        <v>100</v>
      </c>
      <c r="E222" s="5">
        <v>9</v>
      </c>
      <c r="F222" s="5">
        <f>+E222*$C$1+(433.69)</f>
        <v>5233.66</v>
      </c>
      <c r="G222" s="5">
        <f t="shared" si="365"/>
        <v>0</v>
      </c>
      <c r="H222" s="41">
        <f t="shared" si="366"/>
        <v>5233.66</v>
      </c>
      <c r="I222" s="6">
        <v>9</v>
      </c>
      <c r="J222" s="79"/>
      <c r="K222" s="7"/>
      <c r="L222" s="8">
        <v>43282</v>
      </c>
      <c r="M222" s="7"/>
      <c r="N222" s="46" t="s">
        <v>302</v>
      </c>
      <c r="O222" s="1"/>
      <c r="P222" s="1"/>
      <c r="Q222" s="1"/>
      <c r="R222" s="1"/>
      <c r="S222" s="1"/>
      <c r="T222" s="1"/>
      <c r="U222" s="1"/>
      <c r="V222" s="1"/>
      <c r="W222" s="1"/>
      <c r="Z222" s="3" t="s">
        <v>14</v>
      </c>
      <c r="AA222" s="34">
        <v>300</v>
      </c>
      <c r="AB222" s="34">
        <v>150</v>
      </c>
      <c r="AC222" s="35">
        <v>96</v>
      </c>
      <c r="AD222" s="35"/>
      <c r="AE222" s="35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26"/>
      <c r="BC222" s="126"/>
      <c r="BD222" s="126"/>
      <c r="BE222" s="126"/>
      <c r="BF222" s="126"/>
      <c r="BG222" s="126"/>
      <c r="BH222" s="126"/>
      <c r="BI222" s="126"/>
      <c r="BJ222" s="126"/>
      <c r="BK222" s="126"/>
      <c r="BL222" s="126"/>
      <c r="BM222" s="126"/>
      <c r="BN222" s="126"/>
      <c r="BO222" s="126"/>
      <c r="BP222" s="126"/>
      <c r="BQ222" s="126"/>
      <c r="BR222" s="126"/>
      <c r="BS222" s="126"/>
      <c r="BT222" s="126"/>
      <c r="BU222" s="18"/>
    </row>
    <row r="223" spans="1:73" ht="22.2" thickBot="1" x14ac:dyDescent="0.5">
      <c r="B223" s="3" t="s">
        <v>175</v>
      </c>
      <c r="C223" s="4" t="s">
        <v>165</v>
      </c>
      <c r="D223" s="11">
        <v>42562</v>
      </c>
      <c r="E223" s="5">
        <v>0</v>
      </c>
      <c r="F223" s="5">
        <f t="shared" ref="F223:F240" si="367">+E223*$C$1</f>
        <v>0</v>
      </c>
      <c r="G223" s="5">
        <f t="shared" si="365"/>
        <v>0</v>
      </c>
      <c r="H223" s="41">
        <f t="shared" si="366"/>
        <v>0</v>
      </c>
      <c r="I223" s="6">
        <v>15</v>
      </c>
      <c r="J223" s="79"/>
      <c r="K223" s="7"/>
      <c r="L223" s="8">
        <v>43292</v>
      </c>
      <c r="M223" s="7"/>
      <c r="N223" s="46" t="s">
        <v>302</v>
      </c>
      <c r="Z223" s="3" t="s">
        <v>175</v>
      </c>
      <c r="AA223" s="34">
        <v>0</v>
      </c>
      <c r="AB223" s="34">
        <v>96</v>
      </c>
      <c r="AC223" s="35">
        <v>0</v>
      </c>
      <c r="AD223" s="35"/>
      <c r="AE223" s="35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26"/>
      <c r="BC223" s="126"/>
      <c r="BD223" s="126"/>
      <c r="BE223" s="126"/>
      <c r="BF223" s="126"/>
      <c r="BG223" s="126"/>
      <c r="BH223" s="126"/>
      <c r="BI223" s="126"/>
      <c r="BJ223" s="126"/>
      <c r="BK223" s="126"/>
      <c r="BL223" s="126"/>
      <c r="BM223" s="126"/>
      <c r="BN223" s="126"/>
      <c r="BO223" s="126"/>
      <c r="BP223" s="126"/>
      <c r="BQ223" s="126"/>
      <c r="BR223" s="126"/>
      <c r="BS223" s="126"/>
      <c r="BT223" s="126"/>
      <c r="BU223" s="18"/>
    </row>
    <row r="224" spans="1:73" ht="22.2" thickBot="1" x14ac:dyDescent="0.5">
      <c r="B224" s="9" t="s">
        <v>19</v>
      </c>
      <c r="C224" s="4" t="s">
        <v>166</v>
      </c>
      <c r="D224" s="9" t="s">
        <v>103</v>
      </c>
      <c r="E224" s="5">
        <v>8</v>
      </c>
      <c r="F224" s="5">
        <f t="shared" si="367"/>
        <v>4266.6400000000003</v>
      </c>
      <c r="G224" s="5">
        <f t="shared" si="365"/>
        <v>0</v>
      </c>
      <c r="H224" s="41">
        <f t="shared" si="366"/>
        <v>4266.6400000000003</v>
      </c>
      <c r="I224" s="6">
        <v>10</v>
      </c>
      <c r="J224" s="79"/>
      <c r="K224" s="7"/>
      <c r="L224" s="8">
        <v>42685</v>
      </c>
      <c r="M224" s="7"/>
      <c r="N224" s="46" t="s">
        <v>302</v>
      </c>
      <c r="Z224" s="9" t="s">
        <v>19</v>
      </c>
      <c r="AA224" s="34">
        <v>28</v>
      </c>
      <c r="AB224" s="34">
        <v>0</v>
      </c>
      <c r="AC224" s="35">
        <v>0</v>
      </c>
      <c r="AD224" s="35"/>
      <c r="AE224" s="35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26"/>
      <c r="BM224" s="126"/>
      <c r="BN224" s="126"/>
      <c r="BO224" s="126"/>
      <c r="BP224" s="126"/>
      <c r="BQ224" s="126"/>
      <c r="BR224" s="126"/>
      <c r="BS224" s="126"/>
      <c r="BT224" s="126"/>
      <c r="BU224" s="18"/>
    </row>
    <row r="225" spans="2:73" ht="22.2" thickBot="1" x14ac:dyDescent="0.5">
      <c r="B225" s="3" t="s">
        <v>207</v>
      </c>
      <c r="C225" s="4" t="s">
        <v>166</v>
      </c>
      <c r="D225" s="11">
        <v>42767</v>
      </c>
      <c r="E225" s="5">
        <v>0</v>
      </c>
      <c r="F225" s="5">
        <f t="shared" si="367"/>
        <v>0</v>
      </c>
      <c r="G225" s="5">
        <f t="shared" si="365"/>
        <v>0</v>
      </c>
      <c r="H225" s="41">
        <f t="shared" si="366"/>
        <v>0</v>
      </c>
      <c r="I225" s="6">
        <v>15</v>
      </c>
      <c r="J225" s="79"/>
      <c r="K225" s="7"/>
      <c r="L225" s="8">
        <v>43497</v>
      </c>
      <c r="M225" s="7"/>
      <c r="N225" s="46" t="s">
        <v>302</v>
      </c>
      <c r="Z225" s="3" t="s">
        <v>207</v>
      </c>
      <c r="AA225" s="34">
        <v>0</v>
      </c>
      <c r="AB225" s="34">
        <v>0</v>
      </c>
      <c r="AC225" s="35">
        <v>0</v>
      </c>
      <c r="AD225" s="35"/>
      <c r="AE225" s="35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26"/>
      <c r="BC225" s="126"/>
      <c r="BD225" s="126"/>
      <c r="BE225" s="126"/>
      <c r="BF225" s="126"/>
      <c r="BG225" s="126"/>
      <c r="BH225" s="126"/>
      <c r="BI225" s="126"/>
      <c r="BJ225" s="126"/>
      <c r="BK225" s="126"/>
      <c r="BL225" s="126"/>
      <c r="BM225" s="126"/>
      <c r="BN225" s="126"/>
      <c r="BO225" s="126"/>
      <c r="BP225" s="126"/>
      <c r="BQ225" s="126"/>
      <c r="BR225" s="126"/>
      <c r="BS225" s="126"/>
      <c r="BT225" s="126"/>
      <c r="BU225" s="18"/>
    </row>
    <row r="226" spans="2:73" ht="22.2" thickBot="1" x14ac:dyDescent="0.5">
      <c r="B226" s="9" t="s">
        <v>30</v>
      </c>
      <c r="C226" s="4" t="s">
        <v>166</v>
      </c>
      <c r="D226" s="9" t="s">
        <v>114</v>
      </c>
      <c r="E226" s="5">
        <v>2</v>
      </c>
      <c r="F226" s="5">
        <f t="shared" si="367"/>
        <v>1066.6600000000001</v>
      </c>
      <c r="G226" s="5">
        <f t="shared" si="365"/>
        <v>0</v>
      </c>
      <c r="H226" s="41">
        <f t="shared" si="366"/>
        <v>1066.6600000000001</v>
      </c>
      <c r="I226" s="6">
        <v>14</v>
      </c>
      <c r="J226" s="79"/>
      <c r="K226" s="7"/>
      <c r="L226" s="8">
        <v>43367</v>
      </c>
      <c r="M226" s="7"/>
      <c r="N226" s="46" t="s">
        <v>302</v>
      </c>
      <c r="Z226" s="9" t="s">
        <v>30</v>
      </c>
      <c r="AA226" s="34">
        <v>150</v>
      </c>
      <c r="AB226" s="34">
        <v>150</v>
      </c>
      <c r="AC226" s="35">
        <v>0</v>
      </c>
      <c r="AD226" s="35"/>
      <c r="AE226" s="35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26"/>
      <c r="BC226" s="126"/>
      <c r="BD226" s="126"/>
      <c r="BE226" s="126"/>
      <c r="BF226" s="126"/>
      <c r="BG226" s="126"/>
      <c r="BH226" s="126"/>
      <c r="BI226" s="126"/>
      <c r="BJ226" s="126"/>
      <c r="BK226" s="126"/>
      <c r="BL226" s="126"/>
      <c r="BM226" s="126"/>
      <c r="BN226" s="126"/>
      <c r="BO226" s="126"/>
      <c r="BP226" s="126"/>
      <c r="BQ226" s="126"/>
      <c r="BR226" s="126"/>
      <c r="BS226" s="126"/>
      <c r="BT226" s="126"/>
      <c r="BU226" s="18"/>
    </row>
    <row r="227" spans="2:73" ht="22.2" thickBot="1" x14ac:dyDescent="0.5">
      <c r="B227" s="3" t="s">
        <v>178</v>
      </c>
      <c r="C227" s="4" t="s">
        <v>166</v>
      </c>
      <c r="D227" s="10">
        <v>42501</v>
      </c>
      <c r="E227" s="5">
        <v>0</v>
      </c>
      <c r="F227" s="5">
        <f t="shared" si="367"/>
        <v>0</v>
      </c>
      <c r="G227" s="5">
        <f t="shared" si="365"/>
        <v>0</v>
      </c>
      <c r="H227" s="41">
        <f t="shared" si="366"/>
        <v>0</v>
      </c>
      <c r="I227" s="6">
        <v>15</v>
      </c>
      <c r="J227" s="79"/>
      <c r="K227" s="7"/>
      <c r="L227" s="8">
        <v>43231</v>
      </c>
      <c r="M227" s="7"/>
      <c r="N227" s="46" t="s">
        <v>302</v>
      </c>
      <c r="Z227" s="3" t="s">
        <v>178</v>
      </c>
      <c r="AA227" s="34">
        <v>0</v>
      </c>
      <c r="AB227" s="34">
        <v>0</v>
      </c>
      <c r="AC227" s="35">
        <v>0</v>
      </c>
      <c r="AD227" s="35"/>
      <c r="AE227" s="35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26"/>
      <c r="BC227" s="126"/>
      <c r="BD227" s="126"/>
      <c r="BE227" s="126"/>
      <c r="BF227" s="126"/>
      <c r="BG227" s="126"/>
      <c r="BH227" s="126"/>
      <c r="BI227" s="126"/>
      <c r="BJ227" s="126"/>
      <c r="BK227" s="126"/>
      <c r="BL227" s="126"/>
      <c r="BM227" s="126"/>
      <c r="BN227" s="126"/>
      <c r="BO227" s="126"/>
      <c r="BP227" s="126"/>
      <c r="BQ227" s="126"/>
      <c r="BR227" s="126"/>
      <c r="BS227" s="126"/>
      <c r="BT227" s="126"/>
      <c r="BU227" s="18"/>
    </row>
    <row r="228" spans="2:73" ht="22.2" thickBot="1" x14ac:dyDescent="0.5">
      <c r="B228" s="3" t="s">
        <v>35</v>
      </c>
      <c r="C228" s="4" t="s">
        <v>168</v>
      </c>
      <c r="D228" s="3" t="s">
        <v>119</v>
      </c>
      <c r="E228" s="5">
        <v>1</v>
      </c>
      <c r="F228" s="5">
        <f t="shared" si="367"/>
        <v>533.33000000000004</v>
      </c>
      <c r="G228" s="5">
        <f t="shared" si="365"/>
        <v>0</v>
      </c>
      <c r="H228" s="41">
        <f t="shared" si="366"/>
        <v>533.33000000000004</v>
      </c>
      <c r="I228" s="6">
        <v>14</v>
      </c>
      <c r="J228" s="79"/>
      <c r="K228" s="7"/>
      <c r="L228" s="8">
        <v>42751</v>
      </c>
      <c r="M228" s="7"/>
      <c r="N228" s="46" t="s">
        <v>302</v>
      </c>
      <c r="Z228" s="3" t="s">
        <v>35</v>
      </c>
      <c r="AA228" s="34">
        <v>420</v>
      </c>
      <c r="AB228" s="34">
        <v>0</v>
      </c>
      <c r="AC228" s="35">
        <v>0</v>
      </c>
      <c r="AD228" s="35"/>
      <c r="AE228" s="35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26"/>
      <c r="BC228" s="126"/>
      <c r="BD228" s="126"/>
      <c r="BE228" s="126"/>
      <c r="BF228" s="126"/>
      <c r="BG228" s="126"/>
      <c r="BH228" s="126"/>
      <c r="BI228" s="126"/>
      <c r="BJ228" s="126"/>
      <c r="BK228" s="126"/>
      <c r="BL228" s="126"/>
      <c r="BM228" s="126"/>
      <c r="BN228" s="126"/>
      <c r="BO228" s="126"/>
      <c r="BP228" s="126"/>
      <c r="BQ228" s="126"/>
      <c r="BR228" s="126"/>
      <c r="BS228" s="126"/>
      <c r="BT228" s="126"/>
      <c r="BU228" s="18"/>
    </row>
    <row r="229" spans="2:73" ht="22.2" thickBot="1" x14ac:dyDescent="0.5">
      <c r="B229" s="3" t="s">
        <v>39</v>
      </c>
      <c r="C229" s="4" t="s">
        <v>166</v>
      </c>
      <c r="D229" s="3" t="s">
        <v>104</v>
      </c>
      <c r="E229" s="5">
        <v>10</v>
      </c>
      <c r="F229" s="5">
        <f t="shared" si="367"/>
        <v>5333.3</v>
      </c>
      <c r="G229" s="5">
        <f t="shared" si="365"/>
        <v>0</v>
      </c>
      <c r="H229" s="41">
        <f t="shared" si="366"/>
        <v>5333.3</v>
      </c>
      <c r="I229" s="6">
        <v>7</v>
      </c>
      <c r="J229" s="79"/>
      <c r="K229" s="7"/>
      <c r="L229" s="12">
        <v>43101</v>
      </c>
      <c r="M229" s="7"/>
      <c r="N229" s="46" t="s">
        <v>302</v>
      </c>
      <c r="Z229" s="3" t="s">
        <v>39</v>
      </c>
      <c r="AA229" s="34">
        <v>1350</v>
      </c>
      <c r="AB229" s="34">
        <v>96</v>
      </c>
      <c r="AC229" s="35">
        <v>0</v>
      </c>
      <c r="AD229" s="35"/>
      <c r="AE229" s="35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26"/>
      <c r="BC229" s="126"/>
      <c r="BD229" s="126"/>
      <c r="BE229" s="126"/>
      <c r="BF229" s="126"/>
      <c r="BG229" s="126"/>
      <c r="BH229" s="126"/>
      <c r="BI229" s="126"/>
      <c r="BJ229" s="126"/>
      <c r="BK229" s="126"/>
      <c r="BL229" s="126"/>
      <c r="BM229" s="126"/>
      <c r="BN229" s="126"/>
      <c r="BO229" s="126"/>
      <c r="BP229" s="126"/>
      <c r="BQ229" s="126"/>
      <c r="BR229" s="126"/>
      <c r="BS229" s="126"/>
      <c r="BT229" s="126"/>
      <c r="BU229" s="18"/>
    </row>
    <row r="230" spans="2:73" ht="22.2" thickBot="1" x14ac:dyDescent="0.5">
      <c r="B230" s="3" t="s">
        <v>209</v>
      </c>
      <c r="C230" s="4" t="s">
        <v>164</v>
      </c>
      <c r="D230" s="11">
        <v>42770</v>
      </c>
      <c r="E230" s="5">
        <v>0</v>
      </c>
      <c r="F230" s="5">
        <f t="shared" si="367"/>
        <v>0</v>
      </c>
      <c r="G230" s="5">
        <f t="shared" si="365"/>
        <v>0</v>
      </c>
      <c r="H230" s="41">
        <f t="shared" si="366"/>
        <v>0</v>
      </c>
      <c r="I230" s="6">
        <v>15</v>
      </c>
      <c r="J230" s="79"/>
      <c r="K230" s="7"/>
      <c r="L230" s="8">
        <v>43500</v>
      </c>
      <c r="M230" s="7"/>
      <c r="N230" s="46" t="s">
        <v>302</v>
      </c>
      <c r="Z230" s="3" t="s">
        <v>209</v>
      </c>
      <c r="AA230" s="34">
        <v>0</v>
      </c>
      <c r="AB230" s="34">
        <v>0</v>
      </c>
      <c r="AC230" s="35">
        <v>0</v>
      </c>
      <c r="AD230" s="35"/>
      <c r="AE230" s="35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26"/>
      <c r="BC230" s="126"/>
      <c r="BD230" s="126"/>
      <c r="BE230" s="126"/>
      <c r="BF230" s="126"/>
      <c r="BG230" s="126"/>
      <c r="BH230" s="126"/>
      <c r="BI230" s="126"/>
      <c r="BJ230" s="126"/>
      <c r="BK230" s="126"/>
      <c r="BL230" s="126"/>
      <c r="BM230" s="126"/>
      <c r="BN230" s="126"/>
      <c r="BO230" s="126"/>
      <c r="BP230" s="126"/>
      <c r="BQ230" s="126"/>
      <c r="BR230" s="126"/>
      <c r="BS230" s="126"/>
      <c r="BT230" s="126"/>
      <c r="BU230" s="18"/>
    </row>
    <row r="231" spans="2:73" ht="22.2" thickBot="1" x14ac:dyDescent="0.5">
      <c r="B231" s="3" t="s">
        <v>195</v>
      </c>
      <c r="C231" s="4" t="s">
        <v>164</v>
      </c>
      <c r="D231" s="11">
        <v>42614</v>
      </c>
      <c r="E231" s="5">
        <v>0</v>
      </c>
      <c r="F231" s="5">
        <f t="shared" si="367"/>
        <v>0</v>
      </c>
      <c r="G231" s="5">
        <f t="shared" si="365"/>
        <v>0</v>
      </c>
      <c r="H231" s="41">
        <f t="shared" si="366"/>
        <v>0</v>
      </c>
      <c r="I231" s="6">
        <v>15</v>
      </c>
      <c r="J231" s="79"/>
      <c r="K231" s="7"/>
      <c r="L231" s="8">
        <v>43344</v>
      </c>
      <c r="M231" s="7"/>
      <c r="N231" s="46" t="s">
        <v>302</v>
      </c>
      <c r="Z231" s="3" t="s">
        <v>195</v>
      </c>
      <c r="AA231" s="34">
        <v>0</v>
      </c>
      <c r="AB231" s="34">
        <v>96</v>
      </c>
      <c r="AC231" s="35">
        <v>96</v>
      </c>
      <c r="AD231" s="35"/>
      <c r="AE231" s="35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26"/>
      <c r="BC231" s="126"/>
      <c r="BD231" s="126"/>
      <c r="BE231" s="126"/>
      <c r="BF231" s="126"/>
      <c r="BG231" s="126"/>
      <c r="BH231" s="126"/>
      <c r="BI231" s="126"/>
      <c r="BJ231" s="126"/>
      <c r="BK231" s="126"/>
      <c r="BL231" s="126"/>
      <c r="BM231" s="126"/>
      <c r="BN231" s="126"/>
      <c r="BO231" s="126"/>
      <c r="BP231" s="126"/>
      <c r="BQ231" s="126"/>
      <c r="BR231" s="126"/>
      <c r="BS231" s="126"/>
      <c r="BT231" s="126"/>
      <c r="BU231" s="18"/>
    </row>
    <row r="232" spans="2:73" ht="22.2" thickBot="1" x14ac:dyDescent="0.5">
      <c r="B232" s="3" t="s">
        <v>200</v>
      </c>
      <c r="C232" s="4" t="s">
        <v>165</v>
      </c>
      <c r="D232" s="10">
        <v>42661</v>
      </c>
      <c r="E232" s="5">
        <v>0</v>
      </c>
      <c r="F232" s="5">
        <f t="shared" si="367"/>
        <v>0</v>
      </c>
      <c r="G232" s="5">
        <f t="shared" si="365"/>
        <v>0</v>
      </c>
      <c r="H232" s="41">
        <f t="shared" si="366"/>
        <v>0</v>
      </c>
      <c r="I232" s="6">
        <v>15</v>
      </c>
      <c r="J232" s="79"/>
      <c r="K232" s="7"/>
      <c r="L232" s="8">
        <v>43391</v>
      </c>
      <c r="M232" s="7"/>
      <c r="N232" s="46" t="s">
        <v>302</v>
      </c>
      <c r="Z232" s="3" t="s">
        <v>200</v>
      </c>
      <c r="AA232" s="34">
        <v>0</v>
      </c>
      <c r="AB232" s="34">
        <v>0</v>
      </c>
      <c r="AC232" s="35">
        <v>96</v>
      </c>
      <c r="AD232" s="35"/>
      <c r="AE232" s="35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26"/>
      <c r="BC232" s="126"/>
      <c r="BD232" s="126"/>
      <c r="BE232" s="126"/>
      <c r="BF232" s="126"/>
      <c r="BG232" s="126"/>
      <c r="BH232" s="126"/>
      <c r="BI232" s="126"/>
      <c r="BJ232" s="126"/>
      <c r="BK232" s="126"/>
      <c r="BL232" s="126"/>
      <c r="BM232" s="126"/>
      <c r="BN232" s="126"/>
      <c r="BO232" s="126"/>
      <c r="BP232" s="126"/>
      <c r="BQ232" s="126"/>
      <c r="BR232" s="126"/>
      <c r="BS232" s="126"/>
      <c r="BT232" s="126"/>
      <c r="BU232" s="18"/>
    </row>
    <row r="233" spans="2:73" ht="22.2" thickBot="1" x14ac:dyDescent="0.5">
      <c r="B233" s="3" t="s">
        <v>183</v>
      </c>
      <c r="C233" s="4" t="s">
        <v>168</v>
      </c>
      <c r="D233" s="11">
        <v>42485</v>
      </c>
      <c r="E233" s="5">
        <v>0</v>
      </c>
      <c r="F233" s="5">
        <f t="shared" si="367"/>
        <v>0</v>
      </c>
      <c r="G233" s="5">
        <f t="shared" si="365"/>
        <v>0</v>
      </c>
      <c r="H233" s="41">
        <f t="shared" si="366"/>
        <v>0</v>
      </c>
      <c r="I233" s="6">
        <v>15</v>
      </c>
      <c r="J233" s="79"/>
      <c r="K233" s="7"/>
      <c r="L233" s="8">
        <v>43215</v>
      </c>
      <c r="M233" s="7"/>
      <c r="N233" s="46" t="s">
        <v>302</v>
      </c>
      <c r="Z233" s="3" t="s">
        <v>183</v>
      </c>
      <c r="AA233" s="34">
        <v>0</v>
      </c>
      <c r="AB233" s="34">
        <v>96</v>
      </c>
      <c r="AC233" s="35">
        <v>120</v>
      </c>
      <c r="AD233" s="35"/>
      <c r="AE233" s="35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26"/>
      <c r="BM233" s="126"/>
      <c r="BN233" s="126"/>
      <c r="BO233" s="126"/>
      <c r="BP233" s="126"/>
      <c r="BQ233" s="126"/>
      <c r="BR233" s="126"/>
      <c r="BS233" s="126"/>
      <c r="BT233" s="126"/>
      <c r="BU233" s="18"/>
    </row>
    <row r="234" spans="2:73" ht="22.2" thickBot="1" x14ac:dyDescent="0.5">
      <c r="B234" s="3" t="s">
        <v>197</v>
      </c>
      <c r="C234" s="4" t="s">
        <v>166</v>
      </c>
      <c r="D234" s="10">
        <v>42644</v>
      </c>
      <c r="E234" s="5">
        <v>0</v>
      </c>
      <c r="F234" s="5">
        <f t="shared" si="367"/>
        <v>0</v>
      </c>
      <c r="G234" s="5">
        <f t="shared" si="365"/>
        <v>0</v>
      </c>
      <c r="H234" s="41">
        <f t="shared" si="366"/>
        <v>0</v>
      </c>
      <c r="I234" s="6">
        <v>15</v>
      </c>
      <c r="J234" s="79"/>
      <c r="K234" s="7"/>
      <c r="L234" s="8">
        <v>43374</v>
      </c>
      <c r="M234" s="7"/>
      <c r="N234" s="46" t="s">
        <v>302</v>
      </c>
      <c r="Z234" s="9" t="s">
        <v>48</v>
      </c>
      <c r="AA234" s="34">
        <v>0</v>
      </c>
      <c r="AB234" s="34">
        <v>120</v>
      </c>
      <c r="AC234" s="35">
        <v>120</v>
      </c>
      <c r="AD234" s="35"/>
      <c r="AE234" s="35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26"/>
      <c r="BC234" s="126"/>
      <c r="BD234" s="126"/>
      <c r="BE234" s="126"/>
      <c r="BF234" s="126"/>
      <c r="BG234" s="126"/>
      <c r="BH234" s="126"/>
      <c r="BI234" s="126"/>
      <c r="BJ234" s="126"/>
      <c r="BK234" s="126"/>
      <c r="BL234" s="126"/>
      <c r="BM234" s="126"/>
      <c r="BN234" s="126"/>
      <c r="BO234" s="126"/>
      <c r="BP234" s="126"/>
      <c r="BQ234" s="126"/>
      <c r="BR234" s="126"/>
      <c r="BS234" s="126"/>
      <c r="BT234" s="126"/>
      <c r="BU234" s="18"/>
    </row>
    <row r="235" spans="2:73" ht="22.2" thickBot="1" x14ac:dyDescent="0.5">
      <c r="B235" s="3" t="s">
        <v>184</v>
      </c>
      <c r="C235" s="4" t="s">
        <v>166</v>
      </c>
      <c r="D235" s="10">
        <v>42489</v>
      </c>
      <c r="E235" s="5">
        <v>0</v>
      </c>
      <c r="F235" s="5">
        <f t="shared" si="367"/>
        <v>0</v>
      </c>
      <c r="G235" s="5">
        <f t="shared" si="365"/>
        <v>0</v>
      </c>
      <c r="H235" s="41">
        <f t="shared" si="366"/>
        <v>0</v>
      </c>
      <c r="I235" s="6">
        <v>15</v>
      </c>
      <c r="J235" s="79"/>
      <c r="K235" s="7"/>
      <c r="L235" s="8">
        <v>43219</v>
      </c>
      <c r="M235" s="7"/>
      <c r="N235" s="46" t="s">
        <v>302</v>
      </c>
      <c r="Z235" s="3" t="s">
        <v>184</v>
      </c>
      <c r="AA235" s="34">
        <v>0</v>
      </c>
      <c r="AB235" s="34">
        <v>96</v>
      </c>
      <c r="AC235" s="35">
        <v>0</v>
      </c>
      <c r="AD235" s="35"/>
      <c r="AE235" s="35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26"/>
      <c r="BC235" s="126"/>
      <c r="BD235" s="126"/>
      <c r="BE235" s="126"/>
      <c r="BF235" s="126"/>
      <c r="BG235" s="126"/>
      <c r="BH235" s="126"/>
      <c r="BI235" s="126"/>
      <c r="BJ235" s="126"/>
      <c r="BK235" s="126"/>
      <c r="BL235" s="126"/>
      <c r="BM235" s="126"/>
      <c r="BN235" s="126"/>
      <c r="BO235" s="126"/>
      <c r="BP235" s="126"/>
      <c r="BQ235" s="126"/>
      <c r="BR235" s="126"/>
      <c r="BS235" s="126"/>
      <c r="BT235" s="126"/>
      <c r="BU235" s="18"/>
    </row>
    <row r="236" spans="2:73" ht="22.2" thickBot="1" x14ac:dyDescent="0.5">
      <c r="B236" s="3" t="s">
        <v>185</v>
      </c>
      <c r="C236" s="4" t="s">
        <v>166</v>
      </c>
      <c r="D236" s="11">
        <v>42401</v>
      </c>
      <c r="E236" s="5">
        <v>1</v>
      </c>
      <c r="F236" s="5">
        <f t="shared" si="367"/>
        <v>533.33000000000004</v>
      </c>
      <c r="G236" s="5">
        <f t="shared" si="365"/>
        <v>0</v>
      </c>
      <c r="H236" s="41">
        <f t="shared" si="366"/>
        <v>533.33000000000004</v>
      </c>
      <c r="I236" s="6">
        <v>15</v>
      </c>
      <c r="J236" s="79"/>
      <c r="K236" s="7"/>
      <c r="L236" s="8">
        <v>43409</v>
      </c>
      <c r="M236" s="7"/>
      <c r="N236" s="46" t="s">
        <v>302</v>
      </c>
      <c r="Z236" s="3" t="s">
        <v>185</v>
      </c>
      <c r="AA236" s="36">
        <v>0</v>
      </c>
      <c r="AB236" s="34">
        <v>150</v>
      </c>
      <c r="AC236" s="35">
        <v>0</v>
      </c>
      <c r="AD236" s="35"/>
      <c r="AE236" s="35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26"/>
      <c r="BC236" s="126"/>
      <c r="BD236" s="126"/>
      <c r="BE236" s="126"/>
      <c r="BF236" s="126"/>
      <c r="BG236" s="126"/>
      <c r="BH236" s="126"/>
      <c r="BI236" s="126"/>
      <c r="BJ236" s="126"/>
      <c r="BK236" s="126"/>
      <c r="BL236" s="126"/>
      <c r="BM236" s="126"/>
      <c r="BN236" s="126"/>
      <c r="BO236" s="126"/>
      <c r="BP236" s="126"/>
      <c r="BQ236" s="126"/>
      <c r="BR236" s="126"/>
      <c r="BS236" s="126"/>
      <c r="BT236" s="126"/>
      <c r="BU236" s="18"/>
    </row>
    <row r="237" spans="2:73" ht="22.2" thickBot="1" x14ac:dyDescent="0.5">
      <c r="B237" s="3" t="s">
        <v>186</v>
      </c>
      <c r="C237" s="4" t="s">
        <v>165</v>
      </c>
      <c r="D237" s="11">
        <v>42414</v>
      </c>
      <c r="E237" s="5">
        <v>0</v>
      </c>
      <c r="F237" s="5">
        <f t="shared" si="367"/>
        <v>0</v>
      </c>
      <c r="G237" s="5">
        <f t="shared" si="365"/>
        <v>0</v>
      </c>
      <c r="H237" s="41">
        <f t="shared" si="366"/>
        <v>0</v>
      </c>
      <c r="I237" s="6">
        <v>15</v>
      </c>
      <c r="J237" s="79"/>
      <c r="K237" s="7"/>
      <c r="L237" s="8">
        <v>43145</v>
      </c>
      <c r="M237" s="7"/>
      <c r="N237" s="46" t="s">
        <v>302</v>
      </c>
      <c r="Z237" s="3" t="s">
        <v>186</v>
      </c>
      <c r="AA237" s="34">
        <v>0</v>
      </c>
      <c r="AB237" s="34">
        <v>96</v>
      </c>
      <c r="AC237" s="35">
        <v>96</v>
      </c>
      <c r="AD237" s="35"/>
      <c r="AE237" s="35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26"/>
      <c r="BC237" s="126"/>
      <c r="BD237" s="126"/>
      <c r="BE237" s="126"/>
      <c r="BF237" s="126"/>
      <c r="BG237" s="126"/>
      <c r="BH237" s="126"/>
      <c r="BI237" s="126"/>
      <c r="BJ237" s="126"/>
      <c r="BK237" s="126"/>
      <c r="BL237" s="126"/>
      <c r="BM237" s="126"/>
      <c r="BN237" s="126"/>
      <c r="BO237" s="126"/>
      <c r="BP237" s="126"/>
      <c r="BQ237" s="126"/>
      <c r="BR237" s="126"/>
      <c r="BS237" s="126"/>
      <c r="BT237" s="126"/>
      <c r="BU237" s="18"/>
    </row>
    <row r="238" spans="2:73" ht="22.2" thickBot="1" x14ac:dyDescent="0.5">
      <c r="B238" s="3" t="s">
        <v>59</v>
      </c>
      <c r="C238" s="4" t="s">
        <v>165</v>
      </c>
      <c r="D238" s="3" t="s">
        <v>138</v>
      </c>
      <c r="E238" s="5">
        <v>3</v>
      </c>
      <c r="F238" s="5">
        <f t="shared" si="367"/>
        <v>1599.9900000000002</v>
      </c>
      <c r="G238" s="5">
        <f t="shared" si="365"/>
        <v>0</v>
      </c>
      <c r="H238" s="41">
        <f t="shared" si="366"/>
        <v>1599.9900000000002</v>
      </c>
      <c r="I238" s="6">
        <v>12</v>
      </c>
      <c r="J238" s="79"/>
      <c r="K238" s="7"/>
      <c r="L238" s="8">
        <v>43386</v>
      </c>
      <c r="M238" s="7"/>
      <c r="N238" s="46" t="s">
        <v>302</v>
      </c>
      <c r="X238" s="2"/>
      <c r="Z238" s="3" t="s">
        <v>59</v>
      </c>
      <c r="AA238" s="34">
        <v>930</v>
      </c>
      <c r="AB238" s="34">
        <v>150</v>
      </c>
      <c r="AC238" s="35">
        <v>0</v>
      </c>
      <c r="AD238" s="35"/>
      <c r="AE238" s="35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26"/>
      <c r="BC238" s="126"/>
      <c r="BD238" s="126"/>
      <c r="BE238" s="126"/>
      <c r="BF238" s="126"/>
      <c r="BG238" s="126"/>
      <c r="BH238" s="126"/>
      <c r="BI238" s="126"/>
      <c r="BJ238" s="126"/>
      <c r="BK238" s="126"/>
      <c r="BL238" s="126"/>
      <c r="BM238" s="126"/>
      <c r="BN238" s="126"/>
      <c r="BO238" s="126"/>
      <c r="BP238" s="126"/>
      <c r="BQ238" s="126"/>
      <c r="BR238" s="126"/>
      <c r="BS238" s="126"/>
      <c r="BT238" s="126"/>
      <c r="BU238" s="18"/>
    </row>
    <row r="239" spans="2:73" ht="22.2" thickBot="1" x14ac:dyDescent="0.5">
      <c r="B239" s="3" t="s">
        <v>204</v>
      </c>
      <c r="C239" s="4" t="s">
        <v>165</v>
      </c>
      <c r="D239" s="3"/>
      <c r="E239" s="5">
        <v>0</v>
      </c>
      <c r="F239" s="5">
        <f t="shared" si="367"/>
        <v>0</v>
      </c>
      <c r="G239" s="5">
        <f t="shared" si="365"/>
        <v>0</v>
      </c>
      <c r="H239" s="41">
        <f t="shared" si="366"/>
        <v>0</v>
      </c>
      <c r="I239" s="6">
        <v>15</v>
      </c>
      <c r="J239" s="79"/>
      <c r="K239" s="7"/>
      <c r="L239" s="8"/>
      <c r="M239" s="7"/>
      <c r="N239" s="46" t="s">
        <v>302</v>
      </c>
      <c r="Z239" s="3" t="s">
        <v>204</v>
      </c>
      <c r="AA239" s="34">
        <v>0</v>
      </c>
      <c r="AB239" s="34">
        <v>150</v>
      </c>
      <c r="AC239" s="35">
        <v>0</v>
      </c>
      <c r="AD239" s="35"/>
      <c r="AE239" s="35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26"/>
      <c r="BC239" s="126"/>
      <c r="BD239" s="126"/>
      <c r="BE239" s="126"/>
      <c r="BF239" s="126"/>
      <c r="BG239" s="126"/>
      <c r="BH239" s="126"/>
      <c r="BI239" s="126"/>
      <c r="BJ239" s="126"/>
      <c r="BK239" s="126"/>
      <c r="BL239" s="126"/>
      <c r="BM239" s="126"/>
      <c r="BN239" s="126"/>
      <c r="BO239" s="126"/>
      <c r="BP239" s="126"/>
      <c r="BQ239" s="126"/>
      <c r="BR239" s="126"/>
      <c r="BS239" s="126"/>
      <c r="BT239" s="126"/>
      <c r="BU239" s="18"/>
    </row>
    <row r="240" spans="2:73" ht="22.2" thickBot="1" x14ac:dyDescent="0.5">
      <c r="B240" s="3" t="s">
        <v>212</v>
      </c>
      <c r="C240" s="4" t="s">
        <v>169</v>
      </c>
      <c r="D240" s="11">
        <v>42731</v>
      </c>
      <c r="E240" s="5">
        <v>11</v>
      </c>
      <c r="F240" s="5">
        <f t="shared" si="367"/>
        <v>5866.63</v>
      </c>
      <c r="G240" s="5">
        <f t="shared" si="365"/>
        <v>0</v>
      </c>
      <c r="H240" s="41">
        <f t="shared" ref="H240:H245" si="368">+F240+G240</f>
        <v>5866.63</v>
      </c>
      <c r="I240" s="6">
        <v>8</v>
      </c>
      <c r="J240" s="79"/>
      <c r="K240" s="7"/>
      <c r="L240" s="8">
        <v>43461</v>
      </c>
      <c r="M240" s="7"/>
      <c r="N240" s="46" t="s">
        <v>302</v>
      </c>
      <c r="Z240" s="3" t="s">
        <v>212</v>
      </c>
      <c r="AA240" s="34">
        <v>0</v>
      </c>
      <c r="AB240" s="34">
        <v>0</v>
      </c>
      <c r="AC240" s="35">
        <v>96</v>
      </c>
      <c r="AD240" s="35"/>
      <c r="AE240" s="35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26"/>
      <c r="BC240" s="126"/>
      <c r="BD240" s="126"/>
      <c r="BE240" s="126"/>
      <c r="BF240" s="126"/>
      <c r="BG240" s="126"/>
      <c r="BH240" s="126"/>
      <c r="BI240" s="126"/>
      <c r="BJ240" s="126"/>
      <c r="BK240" s="126"/>
      <c r="BL240" s="126"/>
      <c r="BM240" s="126"/>
      <c r="BN240" s="126"/>
      <c r="BO240" s="126"/>
      <c r="BP240" s="126"/>
      <c r="BQ240" s="126"/>
      <c r="BR240" s="126"/>
      <c r="BS240" s="126"/>
      <c r="BT240" s="126"/>
      <c r="BU240" s="18"/>
    </row>
    <row r="241" spans="2:73" ht="22.2" thickBot="1" x14ac:dyDescent="0.5">
      <c r="B241" s="3" t="s">
        <v>214</v>
      </c>
      <c r="C241" s="4" t="s">
        <v>166</v>
      </c>
      <c r="D241" s="11">
        <v>42736</v>
      </c>
      <c r="E241" s="5">
        <v>0</v>
      </c>
      <c r="F241" s="5">
        <f t="shared" ref="F241:F246" si="369">+E241*$C$1</f>
        <v>0</v>
      </c>
      <c r="G241" s="5">
        <f t="shared" si="365"/>
        <v>0</v>
      </c>
      <c r="H241" s="41">
        <f t="shared" si="368"/>
        <v>0</v>
      </c>
      <c r="I241" s="6">
        <v>15</v>
      </c>
      <c r="J241" s="79"/>
      <c r="K241" s="7"/>
      <c r="L241" s="8">
        <v>43466</v>
      </c>
      <c r="M241" s="7"/>
      <c r="N241" s="46" t="s">
        <v>302</v>
      </c>
      <c r="Z241" s="3" t="s">
        <v>214</v>
      </c>
      <c r="AA241" s="34">
        <v>0</v>
      </c>
      <c r="AB241" s="34">
        <v>0</v>
      </c>
      <c r="AC241" s="35">
        <v>0</v>
      </c>
      <c r="AD241" s="35"/>
      <c r="AE241" s="35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26"/>
      <c r="BC241" s="126"/>
      <c r="BD241" s="126"/>
      <c r="BE241" s="126"/>
      <c r="BF241" s="126"/>
      <c r="BG241" s="126"/>
      <c r="BH241" s="126"/>
      <c r="BI241" s="126"/>
      <c r="BJ241" s="126"/>
      <c r="BK241" s="126"/>
      <c r="BL241" s="126"/>
      <c r="BM241" s="126"/>
      <c r="BN241" s="126"/>
      <c r="BO241" s="126"/>
      <c r="BP241" s="126"/>
      <c r="BQ241" s="126"/>
      <c r="BR241" s="126"/>
      <c r="BS241" s="126"/>
      <c r="BT241" s="126"/>
      <c r="BU241" s="18"/>
    </row>
    <row r="242" spans="2:73" ht="22.2" thickBot="1" x14ac:dyDescent="0.5">
      <c r="B242" s="3" t="s">
        <v>189</v>
      </c>
      <c r="C242" s="4" t="s">
        <v>164</v>
      </c>
      <c r="D242" s="10">
        <v>42507</v>
      </c>
      <c r="E242" s="5">
        <v>0</v>
      </c>
      <c r="F242" s="5">
        <f t="shared" si="369"/>
        <v>0</v>
      </c>
      <c r="G242" s="5">
        <f t="shared" si="365"/>
        <v>0</v>
      </c>
      <c r="H242" s="41">
        <f t="shared" si="368"/>
        <v>0</v>
      </c>
      <c r="I242" s="6">
        <v>15</v>
      </c>
      <c r="J242" s="79"/>
      <c r="K242" s="7"/>
      <c r="L242" s="8">
        <v>43237</v>
      </c>
      <c r="M242" s="7"/>
      <c r="N242" s="46" t="s">
        <v>302</v>
      </c>
      <c r="Z242" s="3" t="s">
        <v>189</v>
      </c>
      <c r="AA242" s="36">
        <v>0</v>
      </c>
      <c r="AB242" s="34">
        <v>96</v>
      </c>
      <c r="AC242" s="35">
        <v>0</v>
      </c>
      <c r="AD242" s="35"/>
      <c r="AE242" s="35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26"/>
      <c r="BC242" s="126"/>
      <c r="BD242" s="126"/>
      <c r="BE242" s="126"/>
      <c r="BF242" s="126"/>
      <c r="BG242" s="126"/>
      <c r="BH242" s="126"/>
      <c r="BI242" s="126"/>
      <c r="BJ242" s="126"/>
      <c r="BK242" s="126"/>
      <c r="BL242" s="126"/>
      <c r="BM242" s="126"/>
      <c r="BN242" s="126"/>
      <c r="BO242" s="126"/>
      <c r="BP242" s="126"/>
      <c r="BQ242" s="126"/>
      <c r="BR242" s="126"/>
      <c r="BS242" s="126"/>
      <c r="BT242" s="126"/>
      <c r="BU242" s="18"/>
    </row>
    <row r="243" spans="2:73" ht="22.2" thickBot="1" x14ac:dyDescent="0.5">
      <c r="B243" s="9" t="s">
        <v>85</v>
      </c>
      <c r="C243" s="4" t="s">
        <v>166</v>
      </c>
      <c r="D243" s="9" t="s">
        <v>156</v>
      </c>
      <c r="E243" s="5">
        <v>3</v>
      </c>
      <c r="F243" s="5">
        <f t="shared" si="369"/>
        <v>1599.9900000000002</v>
      </c>
      <c r="G243" s="5">
        <f t="shared" si="365"/>
        <v>0</v>
      </c>
      <c r="H243" s="41">
        <f t="shared" si="368"/>
        <v>1599.9900000000002</v>
      </c>
      <c r="I243" s="6">
        <v>13</v>
      </c>
      <c r="J243" s="79"/>
      <c r="K243" s="7"/>
      <c r="L243" s="8">
        <v>43406</v>
      </c>
      <c r="M243" s="7"/>
      <c r="N243" s="46" t="s">
        <v>302</v>
      </c>
      <c r="Z243" s="9" t="s">
        <v>85</v>
      </c>
      <c r="AA243" s="34">
        <v>439.5</v>
      </c>
      <c r="AB243" s="34">
        <v>150</v>
      </c>
      <c r="AC243" s="35">
        <v>0</v>
      </c>
      <c r="AD243" s="35"/>
      <c r="AE243" s="35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26"/>
      <c r="BC243" s="126"/>
      <c r="BD243" s="126"/>
      <c r="BE243" s="126"/>
      <c r="BF243" s="126"/>
      <c r="BG243" s="126"/>
      <c r="BH243" s="126"/>
      <c r="BI243" s="126"/>
      <c r="BJ243" s="126"/>
      <c r="BK243" s="126"/>
      <c r="BL243" s="126"/>
      <c r="BM243" s="126"/>
      <c r="BN243" s="126"/>
      <c r="BO243" s="126"/>
      <c r="BP243" s="126"/>
      <c r="BQ243" s="126"/>
      <c r="BR243" s="126"/>
      <c r="BS243" s="126"/>
      <c r="BT243" s="126"/>
      <c r="BU243" s="18"/>
    </row>
    <row r="244" spans="2:73" ht="22.2" thickBot="1" x14ac:dyDescent="0.5">
      <c r="B244" s="3" t="s">
        <v>216</v>
      </c>
      <c r="C244" s="4" t="s">
        <v>165</v>
      </c>
      <c r="D244" s="9"/>
      <c r="E244" s="5">
        <v>0</v>
      </c>
      <c r="F244" s="5">
        <f t="shared" si="369"/>
        <v>0</v>
      </c>
      <c r="G244" s="5">
        <f t="shared" si="365"/>
        <v>0</v>
      </c>
      <c r="H244" s="41">
        <f t="shared" si="368"/>
        <v>0</v>
      </c>
      <c r="I244" s="6">
        <v>15</v>
      </c>
      <c r="J244" s="79"/>
      <c r="K244" s="7"/>
      <c r="L244" s="13">
        <v>43556</v>
      </c>
      <c r="M244" s="7"/>
      <c r="N244" s="46" t="s">
        <v>302</v>
      </c>
      <c r="O244" s="1"/>
      <c r="P244" s="1"/>
      <c r="Q244" s="1"/>
      <c r="R244" s="1"/>
      <c r="S244" s="1"/>
      <c r="T244" s="1"/>
      <c r="U244" s="1"/>
      <c r="V244" s="1"/>
      <c r="W244" s="1"/>
      <c r="Z244" s="3" t="s">
        <v>216</v>
      </c>
      <c r="AA244" s="34">
        <v>0</v>
      </c>
      <c r="AB244" s="34">
        <v>318.60000000000002</v>
      </c>
      <c r="AC244" s="35">
        <v>0</v>
      </c>
      <c r="AD244" s="35"/>
      <c r="AE244" s="35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26"/>
      <c r="BC244" s="126"/>
      <c r="BD244" s="126"/>
      <c r="BE244" s="126"/>
      <c r="BF244" s="126"/>
      <c r="BG244" s="126"/>
      <c r="BH244" s="126"/>
      <c r="BI244" s="126"/>
      <c r="BJ244" s="126"/>
      <c r="BK244" s="126"/>
      <c r="BL244" s="126"/>
      <c r="BM244" s="126"/>
      <c r="BN244" s="126"/>
      <c r="BO244" s="126"/>
      <c r="BP244" s="126"/>
      <c r="BQ244" s="126"/>
      <c r="BR244" s="126"/>
      <c r="BS244" s="126"/>
      <c r="BT244" s="126"/>
      <c r="BU244" s="18"/>
    </row>
    <row r="245" spans="2:73" ht="22.2" thickBot="1" x14ac:dyDescent="0.5">
      <c r="B245" s="3" t="s">
        <v>199</v>
      </c>
      <c r="C245" s="4" t="s">
        <v>165</v>
      </c>
      <c r="D245" s="11">
        <v>42647</v>
      </c>
      <c r="E245" s="5">
        <v>2</v>
      </c>
      <c r="F245" s="5">
        <f t="shared" si="369"/>
        <v>1066.6600000000001</v>
      </c>
      <c r="G245" s="5">
        <f t="shared" si="365"/>
        <v>0</v>
      </c>
      <c r="H245" s="41">
        <f t="shared" si="368"/>
        <v>1066.6600000000001</v>
      </c>
      <c r="I245" s="6">
        <v>14</v>
      </c>
      <c r="J245" s="79"/>
      <c r="K245" s="7"/>
      <c r="L245" s="8">
        <v>43587</v>
      </c>
      <c r="M245" s="7"/>
      <c r="N245" s="46" t="s">
        <v>302</v>
      </c>
      <c r="O245" s="1"/>
      <c r="P245" s="1"/>
      <c r="Q245" s="1"/>
      <c r="R245" s="1"/>
      <c r="S245" s="1"/>
      <c r="T245" s="1"/>
      <c r="U245" s="1"/>
      <c r="V245" s="1"/>
      <c r="W245" s="1"/>
      <c r="Z245" s="3" t="s">
        <v>199</v>
      </c>
      <c r="AA245" s="34">
        <v>0</v>
      </c>
      <c r="AB245" s="34">
        <v>120</v>
      </c>
      <c r="AC245" s="35">
        <v>150</v>
      </c>
      <c r="AD245" s="35"/>
      <c r="AE245" s="35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26"/>
      <c r="BC245" s="126"/>
      <c r="BD245" s="126"/>
      <c r="BE245" s="126"/>
      <c r="BF245" s="126"/>
      <c r="BG245" s="126"/>
      <c r="BH245" s="126"/>
      <c r="BI245" s="126"/>
      <c r="BJ245" s="126"/>
      <c r="BK245" s="126"/>
      <c r="BL245" s="126"/>
      <c r="BM245" s="126"/>
      <c r="BN245" s="126"/>
      <c r="BO245" s="126"/>
      <c r="BP245" s="126"/>
      <c r="BQ245" s="126"/>
      <c r="BR245" s="126"/>
      <c r="BS245" s="126"/>
      <c r="BT245" s="126"/>
      <c r="BU245" s="18"/>
    </row>
    <row r="246" spans="2:73" ht="22.2" thickBot="1" x14ac:dyDescent="0.5">
      <c r="B246" s="3" t="s">
        <v>231</v>
      </c>
      <c r="C246" s="4" t="s">
        <v>166</v>
      </c>
      <c r="D246" s="11"/>
      <c r="E246" s="5">
        <v>0</v>
      </c>
      <c r="F246" s="5">
        <f t="shared" si="369"/>
        <v>0</v>
      </c>
      <c r="G246" s="5">
        <f t="shared" ref="G246" si="370">+BU246</f>
        <v>0</v>
      </c>
      <c r="H246" s="41">
        <f t="shared" ref="H246" si="371">+F246+G246</f>
        <v>0</v>
      </c>
      <c r="I246" s="6">
        <v>15</v>
      </c>
      <c r="J246" s="79"/>
      <c r="K246" s="7"/>
      <c r="L246" s="8" t="s">
        <v>193</v>
      </c>
      <c r="M246" s="7"/>
      <c r="N246" s="46" t="s">
        <v>302</v>
      </c>
      <c r="O246" s="1"/>
      <c r="P246" s="1"/>
      <c r="Q246" s="1"/>
      <c r="R246" s="1"/>
      <c r="S246" s="1"/>
      <c r="T246" s="1"/>
      <c r="U246" s="1"/>
      <c r="V246" s="1"/>
      <c r="W246" s="1"/>
      <c r="Z246" s="3" t="s">
        <v>231</v>
      </c>
      <c r="AA246" s="34">
        <v>0</v>
      </c>
      <c r="AB246" s="34">
        <v>0</v>
      </c>
      <c r="AC246" s="35">
        <v>0</v>
      </c>
      <c r="AD246" s="35">
        <v>96</v>
      </c>
      <c r="AE246" s="35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26"/>
      <c r="BC246" s="126"/>
      <c r="BD246" s="126"/>
      <c r="BE246" s="126"/>
      <c r="BF246" s="126"/>
      <c r="BG246" s="126"/>
      <c r="BH246" s="126"/>
      <c r="BI246" s="126"/>
      <c r="BJ246" s="126"/>
      <c r="BK246" s="126"/>
      <c r="BL246" s="126"/>
      <c r="BM246" s="126"/>
      <c r="BN246" s="126"/>
      <c r="BO246" s="126"/>
      <c r="BP246" s="126"/>
      <c r="BQ246" s="126"/>
      <c r="BR246" s="126"/>
      <c r="BS246" s="126"/>
      <c r="BT246" s="126"/>
      <c r="BU246" s="18"/>
    </row>
    <row r="247" spans="2:73" ht="22.2" thickBot="1" x14ac:dyDescent="0.5">
      <c r="B247" s="3" t="s">
        <v>174</v>
      </c>
      <c r="C247" s="4" t="s">
        <v>169</v>
      </c>
      <c r="D247" s="11">
        <v>42495</v>
      </c>
      <c r="E247" s="5">
        <v>9</v>
      </c>
      <c r="F247" s="5">
        <f>+E247*$C$1</f>
        <v>4799.97</v>
      </c>
      <c r="G247" s="5">
        <f>+BU247</f>
        <v>0</v>
      </c>
      <c r="H247" s="41">
        <f>+F247+G247</f>
        <v>4799.97</v>
      </c>
      <c r="I247" s="6">
        <v>8</v>
      </c>
      <c r="J247" s="79"/>
      <c r="K247" s="7"/>
      <c r="L247" s="8">
        <v>43955</v>
      </c>
      <c r="M247" s="7"/>
      <c r="N247" s="46" t="s">
        <v>302</v>
      </c>
      <c r="O247" s="1"/>
      <c r="P247" s="1"/>
      <c r="Q247" s="1"/>
      <c r="R247" s="1"/>
      <c r="S247" s="1"/>
      <c r="T247" s="1"/>
      <c r="U247" s="1"/>
      <c r="V247" s="1"/>
      <c r="W247" s="1"/>
      <c r="Z247" s="3" t="s">
        <v>174</v>
      </c>
      <c r="AA247" s="34">
        <v>624</v>
      </c>
      <c r="AB247" s="34">
        <v>96</v>
      </c>
      <c r="AC247" s="35">
        <v>96</v>
      </c>
      <c r="AD247" s="35">
        <v>120</v>
      </c>
      <c r="AE247" s="35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26"/>
      <c r="BC247" s="126"/>
      <c r="BD247" s="126"/>
      <c r="BE247" s="126"/>
      <c r="BF247" s="126"/>
      <c r="BG247" s="126"/>
      <c r="BH247" s="126"/>
      <c r="BI247" s="126"/>
      <c r="BJ247" s="126"/>
      <c r="BK247" s="126"/>
      <c r="BL247" s="126"/>
      <c r="BM247" s="126"/>
      <c r="BN247" s="126"/>
      <c r="BO247" s="126"/>
      <c r="BP247" s="126"/>
      <c r="BQ247" s="126"/>
      <c r="BR247" s="126"/>
      <c r="BS247" s="126"/>
      <c r="BT247" s="126"/>
      <c r="BU247" s="18"/>
    </row>
    <row r="248" spans="2:73" ht="22.2" thickBot="1" x14ac:dyDescent="0.5">
      <c r="B248" s="3" t="s">
        <v>25</v>
      </c>
      <c r="C248" s="4" t="s">
        <v>165</v>
      </c>
      <c r="D248" s="3" t="s">
        <v>109</v>
      </c>
      <c r="E248" s="5">
        <v>14</v>
      </c>
      <c r="F248" s="5">
        <f>+E248*$C$1</f>
        <v>7466.6200000000008</v>
      </c>
      <c r="G248" s="5">
        <f>+BU248</f>
        <v>0</v>
      </c>
      <c r="H248" s="41">
        <f>+F248+G248</f>
        <v>7466.6200000000008</v>
      </c>
      <c r="I248" s="6">
        <v>5</v>
      </c>
      <c r="J248" s="79"/>
      <c r="K248" s="7"/>
      <c r="L248" s="8">
        <v>43831</v>
      </c>
      <c r="M248" s="7"/>
      <c r="N248" s="46" t="s">
        <v>302</v>
      </c>
      <c r="Z248" s="3" t="s">
        <v>25</v>
      </c>
      <c r="AA248" s="36">
        <v>980</v>
      </c>
      <c r="AB248" s="34">
        <v>150</v>
      </c>
      <c r="AC248" s="35">
        <v>108</v>
      </c>
      <c r="AD248" s="35">
        <v>96</v>
      </c>
      <c r="AE248" s="35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26"/>
      <c r="BC248" s="126"/>
      <c r="BD248" s="126"/>
      <c r="BE248" s="126"/>
      <c r="BF248" s="126"/>
      <c r="BG248" s="126"/>
      <c r="BH248" s="126"/>
      <c r="BI248" s="126"/>
      <c r="BJ248" s="126"/>
      <c r="BK248" s="126"/>
      <c r="BL248" s="126"/>
      <c r="BM248" s="126"/>
      <c r="BN248" s="126"/>
      <c r="BO248" s="126"/>
      <c r="BP248" s="126"/>
      <c r="BQ248" s="126"/>
      <c r="BR248" s="126"/>
      <c r="BS248" s="126"/>
      <c r="BT248" s="126"/>
      <c r="BU248" s="18"/>
    </row>
    <row r="249" spans="2:73" ht="22.2" thickBot="1" x14ac:dyDescent="0.5">
      <c r="B249" s="3" t="s">
        <v>208</v>
      </c>
      <c r="C249" s="4" t="s">
        <v>166</v>
      </c>
      <c r="D249" s="11">
        <v>42767</v>
      </c>
      <c r="E249" s="5">
        <v>0</v>
      </c>
      <c r="F249" s="5">
        <f t="shared" ref="F249:F250" si="372">+E249*$C$1</f>
        <v>0</v>
      </c>
      <c r="G249" s="5">
        <f t="shared" ref="G249" si="373">+BU249</f>
        <v>0</v>
      </c>
      <c r="H249" s="41">
        <f t="shared" ref="H249" si="374">+F249+G249</f>
        <v>0</v>
      </c>
      <c r="I249" s="6">
        <v>15</v>
      </c>
      <c r="J249" s="79"/>
      <c r="K249" s="7"/>
      <c r="L249" s="8">
        <v>43497</v>
      </c>
      <c r="M249" s="7"/>
      <c r="N249" s="46" t="s">
        <v>302</v>
      </c>
      <c r="Z249" s="3" t="s">
        <v>208</v>
      </c>
      <c r="AA249" s="36">
        <v>0</v>
      </c>
      <c r="AB249" s="34">
        <v>0</v>
      </c>
      <c r="AC249" s="35">
        <v>0</v>
      </c>
      <c r="AD249" s="35">
        <v>0</v>
      </c>
      <c r="AE249" s="35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26"/>
      <c r="BC249" s="126"/>
      <c r="BD249" s="126"/>
      <c r="BE249" s="126"/>
      <c r="BF249" s="126"/>
      <c r="BG249" s="126"/>
      <c r="BH249" s="126"/>
      <c r="BI249" s="126"/>
      <c r="BJ249" s="126"/>
      <c r="BK249" s="126"/>
      <c r="BL249" s="126"/>
      <c r="BM249" s="126"/>
      <c r="BN249" s="126"/>
      <c r="BO249" s="126"/>
      <c r="BP249" s="126"/>
      <c r="BQ249" s="126"/>
      <c r="BR249" s="126"/>
      <c r="BS249" s="126"/>
      <c r="BT249" s="126"/>
      <c r="BU249" s="18"/>
    </row>
    <row r="250" spans="2:73" ht="22.2" thickBot="1" x14ac:dyDescent="0.5">
      <c r="B250" s="3" t="s">
        <v>242</v>
      </c>
      <c r="C250" s="4" t="s">
        <v>166</v>
      </c>
      <c r="D250" s="11">
        <v>42767</v>
      </c>
      <c r="E250" s="5">
        <v>0</v>
      </c>
      <c r="F250" s="5">
        <f t="shared" si="372"/>
        <v>0</v>
      </c>
      <c r="G250" s="5">
        <f t="shared" ref="G250" si="375">+BU250</f>
        <v>0</v>
      </c>
      <c r="H250" s="41">
        <f t="shared" ref="H250" si="376">+F250+G250</f>
        <v>0</v>
      </c>
      <c r="I250" s="6">
        <v>15</v>
      </c>
      <c r="J250" s="79"/>
      <c r="K250" s="7"/>
      <c r="L250" s="8"/>
      <c r="M250" s="7"/>
      <c r="N250" s="46" t="s">
        <v>302</v>
      </c>
      <c r="Z250" s="3" t="s">
        <v>242</v>
      </c>
      <c r="AA250" s="36">
        <v>0</v>
      </c>
      <c r="AB250" s="34">
        <v>0</v>
      </c>
      <c r="AC250" s="35">
        <v>0</v>
      </c>
      <c r="AD250" s="35">
        <v>132.6</v>
      </c>
      <c r="AE250" s="35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26"/>
      <c r="BC250" s="126"/>
      <c r="BD250" s="126"/>
      <c r="BE250" s="126"/>
      <c r="BF250" s="126"/>
      <c r="BG250" s="126"/>
      <c r="BH250" s="126"/>
      <c r="BI250" s="126"/>
      <c r="BJ250" s="126"/>
      <c r="BK250" s="126"/>
      <c r="BL250" s="126"/>
      <c r="BM250" s="126"/>
      <c r="BN250" s="126"/>
      <c r="BO250" s="126"/>
      <c r="BP250" s="126"/>
      <c r="BQ250" s="126"/>
      <c r="BR250" s="126"/>
      <c r="BS250" s="126"/>
      <c r="BT250" s="126"/>
      <c r="BU250" s="18"/>
    </row>
    <row r="251" spans="2:73" ht="22.2" thickBot="1" x14ac:dyDescent="0.5">
      <c r="B251" s="3" t="s">
        <v>52</v>
      </c>
      <c r="C251" s="4" t="s">
        <v>165</v>
      </c>
      <c r="D251" s="9" t="s">
        <v>132</v>
      </c>
      <c r="E251" s="5">
        <v>9</v>
      </c>
      <c r="F251" s="5">
        <f t="shared" ref="F251:F258" si="377">+E251*$C$1</f>
        <v>4799.97</v>
      </c>
      <c r="G251" s="5">
        <f t="shared" ref="G251:G258" si="378">+BU251</f>
        <v>0</v>
      </c>
      <c r="H251" s="41">
        <f t="shared" ref="H251:H258" si="379">+F251+G251</f>
        <v>4799.97</v>
      </c>
      <c r="I251" s="6">
        <v>8</v>
      </c>
      <c r="J251" s="79"/>
      <c r="K251" s="7"/>
      <c r="L251" s="8">
        <v>43737</v>
      </c>
      <c r="M251" s="7"/>
      <c r="N251" s="46" t="s">
        <v>302</v>
      </c>
      <c r="Z251" s="3" t="s">
        <v>52</v>
      </c>
      <c r="AA251" s="36">
        <v>1506</v>
      </c>
      <c r="AB251" s="34">
        <v>96</v>
      </c>
      <c r="AC251" s="35">
        <v>96</v>
      </c>
      <c r="AD251" s="35">
        <v>0</v>
      </c>
      <c r="AE251" s="35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26"/>
      <c r="BM251" s="126"/>
      <c r="BN251" s="126"/>
      <c r="BO251" s="126"/>
      <c r="BP251" s="126"/>
      <c r="BQ251" s="126"/>
      <c r="BR251" s="126"/>
      <c r="BS251" s="126"/>
      <c r="BT251" s="126"/>
      <c r="BU251" s="18"/>
    </row>
    <row r="252" spans="2:73" ht="22.2" thickBot="1" x14ac:dyDescent="0.5">
      <c r="B252" s="3" t="s">
        <v>211</v>
      </c>
      <c r="C252" s="4" t="s">
        <v>166</v>
      </c>
      <c r="D252" s="11">
        <v>42767</v>
      </c>
      <c r="E252" s="5">
        <v>0</v>
      </c>
      <c r="F252" s="5">
        <f t="shared" si="377"/>
        <v>0</v>
      </c>
      <c r="G252" s="5">
        <f t="shared" si="378"/>
        <v>0</v>
      </c>
      <c r="H252" s="41">
        <f t="shared" si="379"/>
        <v>0</v>
      </c>
      <c r="I252" s="6">
        <v>15</v>
      </c>
      <c r="J252" s="79"/>
      <c r="K252" s="7"/>
      <c r="L252" s="8">
        <v>43497</v>
      </c>
      <c r="M252" s="7"/>
      <c r="N252" s="46" t="s">
        <v>302</v>
      </c>
      <c r="Z252" s="3" t="s">
        <v>222</v>
      </c>
      <c r="AA252" s="34">
        <v>0</v>
      </c>
      <c r="AB252" s="34">
        <v>0</v>
      </c>
      <c r="AC252" s="35">
        <v>96</v>
      </c>
      <c r="AD252" s="35">
        <v>0</v>
      </c>
      <c r="AE252" s="35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26"/>
      <c r="BC252" s="126"/>
      <c r="BD252" s="126"/>
      <c r="BE252" s="126"/>
      <c r="BF252" s="126"/>
      <c r="BG252" s="126"/>
      <c r="BH252" s="126"/>
      <c r="BI252" s="126"/>
      <c r="BJ252" s="126"/>
      <c r="BK252" s="126"/>
      <c r="BL252" s="126"/>
      <c r="BM252" s="126"/>
      <c r="BN252" s="126"/>
      <c r="BO252" s="126"/>
      <c r="BP252" s="126"/>
      <c r="BQ252" s="126"/>
      <c r="BR252" s="126"/>
      <c r="BS252" s="126"/>
      <c r="BT252" s="126"/>
      <c r="BU252" s="18"/>
    </row>
    <row r="253" spans="2:73" ht="22.2" thickBot="1" x14ac:dyDescent="0.5">
      <c r="B253" s="3" t="s">
        <v>67</v>
      </c>
      <c r="C253" s="4" t="s">
        <v>165</v>
      </c>
      <c r="D253" s="3" t="s">
        <v>145</v>
      </c>
      <c r="E253" s="5">
        <v>2</v>
      </c>
      <c r="F253" s="5">
        <f t="shared" si="377"/>
        <v>1066.6600000000001</v>
      </c>
      <c r="G253" s="5">
        <f t="shared" si="378"/>
        <v>0</v>
      </c>
      <c r="H253" s="41">
        <f t="shared" si="379"/>
        <v>1066.6600000000001</v>
      </c>
      <c r="I253" s="6">
        <v>13</v>
      </c>
      <c r="J253" s="79"/>
      <c r="K253" s="7"/>
      <c r="L253" s="8">
        <v>43381</v>
      </c>
      <c r="M253" s="7"/>
      <c r="N253" s="46" t="s">
        <v>302</v>
      </c>
      <c r="Z253" s="3" t="s">
        <v>67</v>
      </c>
      <c r="AA253" s="34">
        <v>375</v>
      </c>
      <c r="AB253" s="34">
        <v>150</v>
      </c>
      <c r="AC253" s="35">
        <v>150</v>
      </c>
      <c r="AD253" s="35">
        <v>0</v>
      </c>
      <c r="AE253" s="35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26"/>
      <c r="BC253" s="126"/>
      <c r="BD253" s="126"/>
      <c r="BE253" s="126"/>
      <c r="BF253" s="126"/>
      <c r="BG253" s="126"/>
      <c r="BH253" s="126"/>
      <c r="BI253" s="126"/>
      <c r="BJ253" s="126"/>
      <c r="BK253" s="126"/>
      <c r="BL253" s="126"/>
      <c r="BM253" s="126"/>
      <c r="BN253" s="126"/>
      <c r="BO253" s="126"/>
      <c r="BP253" s="126"/>
      <c r="BQ253" s="126"/>
      <c r="BR253" s="126"/>
      <c r="BS253" s="126"/>
      <c r="BT253" s="126"/>
      <c r="BU253" s="18"/>
    </row>
    <row r="254" spans="2:73" ht="22.2" thickBot="1" x14ac:dyDescent="0.5">
      <c r="B254" s="3" t="s">
        <v>198</v>
      </c>
      <c r="C254" s="4" t="s">
        <v>165</v>
      </c>
      <c r="D254" s="11">
        <v>42661</v>
      </c>
      <c r="E254" s="5">
        <v>3</v>
      </c>
      <c r="F254" s="5">
        <f t="shared" si="377"/>
        <v>1599.9900000000002</v>
      </c>
      <c r="G254" s="5">
        <f t="shared" si="378"/>
        <v>0</v>
      </c>
      <c r="H254" s="41">
        <f t="shared" si="379"/>
        <v>1599.9900000000002</v>
      </c>
      <c r="I254" s="6">
        <v>13</v>
      </c>
      <c r="J254" s="79"/>
      <c r="K254" s="7"/>
      <c r="L254" s="8">
        <v>44122</v>
      </c>
      <c r="M254" s="7"/>
      <c r="N254" s="46" t="s">
        <v>302</v>
      </c>
      <c r="Z254" s="3" t="s">
        <v>198</v>
      </c>
      <c r="AA254" s="36">
        <v>350</v>
      </c>
      <c r="AB254" s="34">
        <v>0</v>
      </c>
      <c r="AC254" s="35">
        <v>96</v>
      </c>
      <c r="AD254" s="35">
        <v>132</v>
      </c>
      <c r="AE254" s="35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26"/>
      <c r="BC254" s="126"/>
      <c r="BD254" s="126"/>
      <c r="BE254" s="126"/>
      <c r="BF254" s="126"/>
      <c r="BG254" s="126"/>
      <c r="BH254" s="126"/>
      <c r="BI254" s="126"/>
      <c r="BJ254" s="126"/>
      <c r="BK254" s="126"/>
      <c r="BL254" s="126"/>
      <c r="BM254" s="126"/>
      <c r="BN254" s="126"/>
      <c r="BO254" s="126"/>
      <c r="BP254" s="126"/>
      <c r="BQ254" s="126"/>
      <c r="BR254" s="126"/>
      <c r="BS254" s="126"/>
      <c r="BT254" s="126"/>
      <c r="BU254" s="18"/>
    </row>
    <row r="255" spans="2:73" ht="22.2" thickBot="1" x14ac:dyDescent="0.5">
      <c r="B255" s="3" t="s">
        <v>80</v>
      </c>
      <c r="C255" s="4" t="s">
        <v>169</v>
      </c>
      <c r="D255" s="19" t="s">
        <v>153</v>
      </c>
      <c r="E255" s="5">
        <v>12</v>
      </c>
      <c r="F255" s="5">
        <f t="shared" si="377"/>
        <v>6399.9600000000009</v>
      </c>
      <c r="G255" s="5">
        <f t="shared" si="378"/>
        <v>0</v>
      </c>
      <c r="H255" s="41">
        <f t="shared" si="379"/>
        <v>6399.9600000000009</v>
      </c>
      <c r="I255" s="6">
        <v>5</v>
      </c>
      <c r="J255" s="79"/>
      <c r="K255" s="7"/>
      <c r="L255" s="8">
        <v>43497</v>
      </c>
      <c r="M255" s="7"/>
      <c r="N255" s="46" t="s">
        <v>302</v>
      </c>
      <c r="O255" s="1"/>
      <c r="P255" s="1"/>
      <c r="Q255" s="1"/>
      <c r="R255" s="1"/>
      <c r="S255" s="1"/>
      <c r="T255" s="1"/>
      <c r="U255" s="1"/>
      <c r="V255" s="1"/>
      <c r="W255" s="1"/>
      <c r="Z255" s="3" t="s">
        <v>80</v>
      </c>
      <c r="AA255" s="36">
        <v>1628</v>
      </c>
      <c r="AB255" s="34">
        <v>96</v>
      </c>
      <c r="AC255" s="35">
        <v>96</v>
      </c>
      <c r="AD255" s="35">
        <v>96</v>
      </c>
      <c r="AE255" s="35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26"/>
      <c r="BM255" s="126"/>
      <c r="BN255" s="126"/>
      <c r="BO255" s="126"/>
      <c r="BP255" s="126"/>
      <c r="BQ255" s="126"/>
      <c r="BR255" s="126"/>
      <c r="BS255" s="126"/>
      <c r="BT255" s="126"/>
      <c r="BU255" s="18"/>
    </row>
    <row r="256" spans="2:73" ht="22.2" thickBot="1" x14ac:dyDescent="0.5">
      <c r="B256" s="3" t="s">
        <v>232</v>
      </c>
      <c r="C256" s="4" t="s">
        <v>166</v>
      </c>
      <c r="D256" s="3"/>
      <c r="E256" s="5">
        <v>0</v>
      </c>
      <c r="F256" s="5">
        <f t="shared" si="377"/>
        <v>0</v>
      </c>
      <c r="G256" s="5">
        <f t="shared" si="378"/>
        <v>0</v>
      </c>
      <c r="H256" s="41">
        <f t="shared" si="379"/>
        <v>0</v>
      </c>
      <c r="I256" s="6">
        <v>15</v>
      </c>
      <c r="J256" s="79"/>
      <c r="K256" s="7"/>
      <c r="L256" s="8"/>
      <c r="M256" s="7"/>
      <c r="N256" s="46" t="s">
        <v>302</v>
      </c>
      <c r="Z256" s="3" t="s">
        <v>232</v>
      </c>
      <c r="AA256" s="34">
        <v>0</v>
      </c>
      <c r="AB256" s="34">
        <v>0</v>
      </c>
      <c r="AC256" s="35">
        <v>0</v>
      </c>
      <c r="AD256" s="35">
        <v>96</v>
      </c>
      <c r="AE256" s="35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8"/>
    </row>
    <row r="257" spans="2:73" ht="22.2" thickBot="1" x14ac:dyDescent="0.5">
      <c r="B257" s="3" t="s">
        <v>237</v>
      </c>
      <c r="C257" s="4" t="s">
        <v>166</v>
      </c>
      <c r="D257" s="11"/>
      <c r="E257" s="5">
        <v>0</v>
      </c>
      <c r="F257" s="5">
        <f t="shared" si="377"/>
        <v>0</v>
      </c>
      <c r="G257" s="5">
        <f t="shared" si="378"/>
        <v>0</v>
      </c>
      <c r="H257" s="41">
        <f t="shared" si="379"/>
        <v>0</v>
      </c>
      <c r="I257" s="6">
        <v>15</v>
      </c>
      <c r="J257" s="79"/>
      <c r="K257" s="7"/>
      <c r="L257" s="8"/>
      <c r="M257" s="7"/>
      <c r="N257" s="46" t="s">
        <v>302</v>
      </c>
      <c r="Z257" s="3" t="s">
        <v>237</v>
      </c>
      <c r="AA257" s="34">
        <v>0</v>
      </c>
      <c r="AB257" s="34">
        <v>0</v>
      </c>
      <c r="AC257" s="35">
        <v>0</v>
      </c>
      <c r="AD257" s="35">
        <v>96</v>
      </c>
      <c r="AE257" s="35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8"/>
    </row>
    <row r="258" spans="2:73" ht="22.2" thickBot="1" x14ac:dyDescent="0.5">
      <c r="B258" s="3" t="s">
        <v>238</v>
      </c>
      <c r="C258" s="4" t="s">
        <v>166</v>
      </c>
      <c r="D258" s="11"/>
      <c r="E258" s="5">
        <v>0</v>
      </c>
      <c r="F258" s="5">
        <f t="shared" si="377"/>
        <v>0</v>
      </c>
      <c r="G258" s="5">
        <f t="shared" si="378"/>
        <v>0</v>
      </c>
      <c r="H258" s="41">
        <f t="shared" si="379"/>
        <v>0</v>
      </c>
      <c r="I258" s="6">
        <v>15</v>
      </c>
      <c r="J258" s="79"/>
      <c r="K258" s="7"/>
      <c r="L258" s="8"/>
      <c r="M258" s="7"/>
      <c r="N258" s="46" t="s">
        <v>302</v>
      </c>
      <c r="Z258" s="3" t="s">
        <v>238</v>
      </c>
      <c r="AA258" s="34">
        <v>0</v>
      </c>
      <c r="AB258" s="34">
        <v>0</v>
      </c>
      <c r="AC258" s="35">
        <v>0</v>
      </c>
      <c r="AD258" s="35">
        <v>96</v>
      </c>
      <c r="AE258" s="35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26"/>
      <c r="BC258" s="126"/>
      <c r="BD258" s="126"/>
      <c r="BE258" s="126"/>
      <c r="BF258" s="126"/>
      <c r="BG258" s="126"/>
      <c r="BH258" s="126"/>
      <c r="BI258" s="126"/>
      <c r="BJ258" s="126"/>
      <c r="BK258" s="126"/>
      <c r="BL258" s="126"/>
      <c r="BM258" s="126"/>
      <c r="BN258" s="126"/>
      <c r="BO258" s="126"/>
      <c r="BP258" s="126"/>
      <c r="BQ258" s="126"/>
      <c r="BR258" s="126"/>
      <c r="BS258" s="126"/>
      <c r="BT258" s="126"/>
      <c r="BU258" s="18"/>
    </row>
    <row r="259" spans="2:73" ht="22.2" thickBot="1" x14ac:dyDescent="0.5">
      <c r="B259" s="3" t="s">
        <v>221</v>
      </c>
      <c r="C259" s="4" t="s">
        <v>165</v>
      </c>
      <c r="D259" s="3"/>
      <c r="E259" s="5">
        <v>2</v>
      </c>
      <c r="F259" s="5">
        <f>+E259*$C$1</f>
        <v>1066.6600000000001</v>
      </c>
      <c r="G259" s="5">
        <f>+BU259</f>
        <v>0</v>
      </c>
      <c r="H259" s="41">
        <f>+F259+G259</f>
        <v>1066.6600000000001</v>
      </c>
      <c r="I259" s="6">
        <v>14</v>
      </c>
      <c r="J259" s="79"/>
      <c r="K259" s="7"/>
      <c r="L259" s="8">
        <v>44046</v>
      </c>
      <c r="M259" s="7"/>
      <c r="N259" s="46" t="s">
        <v>302</v>
      </c>
      <c r="Z259" s="3" t="s">
        <v>221</v>
      </c>
      <c r="AA259" s="34">
        <v>0</v>
      </c>
      <c r="AB259" s="34">
        <v>0</v>
      </c>
      <c r="AC259" s="35">
        <v>0</v>
      </c>
      <c r="AD259" s="35">
        <v>96</v>
      </c>
      <c r="AE259" s="35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26"/>
      <c r="BC259" s="126"/>
      <c r="BD259" s="126"/>
      <c r="BE259" s="126"/>
      <c r="BF259" s="126"/>
      <c r="BG259" s="126"/>
      <c r="BH259" s="126"/>
      <c r="BI259" s="126"/>
      <c r="BJ259" s="126"/>
      <c r="BK259" s="126"/>
      <c r="BL259" s="126"/>
      <c r="BM259" s="126"/>
      <c r="BN259" s="126"/>
      <c r="BO259" s="126"/>
      <c r="BP259" s="126"/>
      <c r="BQ259" s="126"/>
      <c r="BR259" s="126"/>
      <c r="BS259" s="126"/>
      <c r="BT259" s="126"/>
      <c r="BU259" s="18"/>
    </row>
    <row r="260" spans="2:73" ht="22.2" thickBot="1" x14ac:dyDescent="0.5">
      <c r="B260" s="3" t="s">
        <v>215</v>
      </c>
      <c r="C260" s="4" t="s">
        <v>166</v>
      </c>
      <c r="D260" s="11">
        <v>42856</v>
      </c>
      <c r="E260" s="5">
        <v>3</v>
      </c>
      <c r="F260" s="5">
        <f>+E260*$C$1</f>
        <v>1599.9900000000002</v>
      </c>
      <c r="G260" s="5">
        <f>+BU260</f>
        <v>0</v>
      </c>
      <c r="H260" s="41">
        <f>+F260+G260</f>
        <v>1599.9900000000002</v>
      </c>
      <c r="I260" s="6">
        <v>13</v>
      </c>
      <c r="J260" s="79"/>
      <c r="K260" s="7"/>
      <c r="L260" s="8">
        <v>43806</v>
      </c>
      <c r="M260" s="7"/>
      <c r="N260" s="46" t="s">
        <v>302</v>
      </c>
      <c r="Z260" s="3" t="s">
        <v>215</v>
      </c>
      <c r="AA260" s="34">
        <v>120</v>
      </c>
      <c r="AB260" s="34">
        <v>0</v>
      </c>
      <c r="AC260" s="35">
        <v>0</v>
      </c>
      <c r="AD260" s="35">
        <v>150</v>
      </c>
      <c r="AE260" s="35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26"/>
      <c r="BC260" s="126"/>
      <c r="BD260" s="126"/>
      <c r="BE260" s="126"/>
      <c r="BF260" s="126"/>
      <c r="BG260" s="126"/>
      <c r="BH260" s="126"/>
      <c r="BI260" s="126"/>
      <c r="BJ260" s="126"/>
      <c r="BK260" s="126"/>
      <c r="BL260" s="126"/>
      <c r="BM260" s="126"/>
      <c r="BN260" s="126"/>
      <c r="BO260" s="126"/>
      <c r="BP260" s="126"/>
      <c r="BQ260" s="126"/>
      <c r="BR260" s="126"/>
      <c r="BS260" s="126"/>
      <c r="BT260" s="126"/>
      <c r="BU260" s="18"/>
    </row>
    <row r="261" spans="2:73" ht="22.2" thickBot="1" x14ac:dyDescent="0.5">
      <c r="B261" s="3" t="s">
        <v>219</v>
      </c>
      <c r="C261" s="4" t="s">
        <v>165</v>
      </c>
      <c r="D261" s="11">
        <v>42891</v>
      </c>
      <c r="E261" s="5">
        <v>0</v>
      </c>
      <c r="F261" s="5">
        <f>+E261*$C$1</f>
        <v>0</v>
      </c>
      <c r="G261" s="5">
        <f>+BU261</f>
        <v>0</v>
      </c>
      <c r="H261" s="41">
        <f>+F261+G261</f>
        <v>0</v>
      </c>
      <c r="I261" s="6">
        <v>15</v>
      </c>
      <c r="J261" s="79"/>
      <c r="K261" s="7"/>
      <c r="L261" s="8">
        <v>43621</v>
      </c>
      <c r="M261" s="7"/>
      <c r="N261" s="46" t="s">
        <v>302</v>
      </c>
      <c r="Z261" s="3" t="s">
        <v>219</v>
      </c>
      <c r="AA261" s="36">
        <v>309</v>
      </c>
      <c r="AB261" s="34">
        <v>0</v>
      </c>
      <c r="AC261" s="35">
        <v>0</v>
      </c>
      <c r="AD261" s="35">
        <v>150</v>
      </c>
      <c r="AE261" s="35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26"/>
      <c r="BC261" s="126"/>
      <c r="BD261" s="126"/>
      <c r="BE261" s="126"/>
      <c r="BF261" s="126"/>
      <c r="BG261" s="126"/>
      <c r="BH261" s="126"/>
      <c r="BI261" s="126"/>
      <c r="BJ261" s="126"/>
      <c r="BK261" s="126"/>
      <c r="BL261" s="126"/>
      <c r="BM261" s="126"/>
      <c r="BN261" s="126"/>
      <c r="BO261" s="126"/>
      <c r="BP261" s="126"/>
      <c r="BQ261" s="126"/>
      <c r="BR261" s="126"/>
      <c r="BS261" s="126"/>
      <c r="BT261" s="126"/>
      <c r="BU261" s="18"/>
    </row>
    <row r="262" spans="2:73" ht="22.2" thickBot="1" x14ac:dyDescent="0.5">
      <c r="B262" s="3" t="s">
        <v>255</v>
      </c>
      <c r="C262" s="4" t="s">
        <v>165</v>
      </c>
      <c r="D262" s="11">
        <v>43466</v>
      </c>
      <c r="E262" s="5">
        <v>1</v>
      </c>
      <c r="F262" s="5">
        <f t="shared" ref="F262" si="380">+E262*$C$1</f>
        <v>533.33000000000004</v>
      </c>
      <c r="G262" s="5">
        <f t="shared" ref="G262" si="381">+BU262</f>
        <v>0</v>
      </c>
      <c r="H262" s="41">
        <f t="shared" ref="H262" si="382">+F262+G262</f>
        <v>533.33000000000004</v>
      </c>
      <c r="I262" s="6">
        <v>15</v>
      </c>
      <c r="J262" s="79"/>
      <c r="K262" s="7"/>
      <c r="L262" s="8">
        <v>44348</v>
      </c>
      <c r="M262" s="7"/>
      <c r="N262" s="46" t="s">
        <v>302</v>
      </c>
      <c r="Z262" s="3" t="s">
        <v>255</v>
      </c>
      <c r="AA262" s="34">
        <v>186.6</v>
      </c>
      <c r="AB262" s="34">
        <v>0</v>
      </c>
      <c r="AC262" s="35">
        <v>0</v>
      </c>
      <c r="AD262" s="35">
        <v>0</v>
      </c>
      <c r="AE262" s="35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26"/>
      <c r="BC262" s="126"/>
      <c r="BD262" s="126"/>
      <c r="BE262" s="126"/>
      <c r="BF262" s="126"/>
      <c r="BG262" s="126"/>
      <c r="BH262" s="126"/>
      <c r="BI262" s="126"/>
      <c r="BJ262" s="126"/>
      <c r="BK262" s="126"/>
      <c r="BL262" s="126"/>
      <c r="BM262" s="126"/>
      <c r="BN262" s="126"/>
      <c r="BO262" s="126"/>
      <c r="BP262" s="126"/>
      <c r="BQ262" s="126"/>
      <c r="BR262" s="126"/>
      <c r="BS262" s="126"/>
      <c r="BT262" s="126"/>
      <c r="BU262" s="18"/>
    </row>
    <row r="263" spans="2:73" ht="22.2" thickBot="1" x14ac:dyDescent="0.5">
      <c r="B263" s="3" t="s">
        <v>276</v>
      </c>
      <c r="C263" s="4" t="s">
        <v>165</v>
      </c>
      <c r="D263" s="11">
        <v>43629</v>
      </c>
      <c r="E263" s="5">
        <v>0</v>
      </c>
      <c r="F263" s="5">
        <f t="shared" ref="F263:F268" si="383">+E263*$C$1</f>
        <v>0</v>
      </c>
      <c r="G263" s="5">
        <f t="shared" ref="G263:G268" si="384">+BU263</f>
        <v>0</v>
      </c>
      <c r="H263" s="41">
        <f t="shared" ref="H263:H268" si="385">+F263+G263</f>
        <v>0</v>
      </c>
      <c r="I263" s="6">
        <v>15</v>
      </c>
      <c r="J263" s="79"/>
      <c r="K263" s="7"/>
      <c r="L263" s="8">
        <v>44360</v>
      </c>
      <c r="M263" s="7"/>
      <c r="N263" s="46" t="s">
        <v>302</v>
      </c>
      <c r="Z263" s="3" t="s">
        <v>276</v>
      </c>
      <c r="AA263" s="36">
        <v>0</v>
      </c>
      <c r="AB263" s="34">
        <v>0</v>
      </c>
      <c r="AC263" s="35">
        <v>0</v>
      </c>
      <c r="AD263" s="35">
        <v>0</v>
      </c>
      <c r="AE263" s="35">
        <v>132.6</v>
      </c>
      <c r="AF263" s="24">
        <v>132.6</v>
      </c>
      <c r="AG263" s="21">
        <f t="shared" ref="AG263:AG268" si="386">+AF263-AE263</f>
        <v>0</v>
      </c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26"/>
      <c r="BC263" s="126"/>
      <c r="BD263" s="126"/>
      <c r="BE263" s="126"/>
      <c r="BF263" s="126"/>
      <c r="BG263" s="126"/>
      <c r="BH263" s="126"/>
      <c r="BI263" s="126"/>
      <c r="BJ263" s="126"/>
      <c r="BK263" s="126"/>
      <c r="BL263" s="126"/>
      <c r="BM263" s="126"/>
      <c r="BN263" s="126"/>
      <c r="BO263" s="126"/>
      <c r="BP263" s="126"/>
      <c r="BQ263" s="126"/>
      <c r="BR263" s="126"/>
      <c r="BS263" s="126"/>
      <c r="BT263" s="126"/>
      <c r="BU263" s="18"/>
    </row>
    <row r="264" spans="2:73" ht="22.2" thickBot="1" x14ac:dyDescent="0.5">
      <c r="B264" s="3" t="s">
        <v>262</v>
      </c>
      <c r="C264" s="4" t="s">
        <v>162</v>
      </c>
      <c r="D264" s="11">
        <v>43649</v>
      </c>
      <c r="E264" s="5">
        <v>0</v>
      </c>
      <c r="F264" s="5">
        <f t="shared" si="383"/>
        <v>0</v>
      </c>
      <c r="G264" s="5">
        <f t="shared" si="384"/>
        <v>0</v>
      </c>
      <c r="H264" s="41">
        <f t="shared" si="385"/>
        <v>0</v>
      </c>
      <c r="I264" s="6">
        <v>15</v>
      </c>
      <c r="J264" s="79"/>
      <c r="K264" s="7"/>
      <c r="L264" s="8">
        <v>44380</v>
      </c>
      <c r="M264" s="7"/>
      <c r="N264" s="46" t="s">
        <v>302</v>
      </c>
      <c r="Z264" s="3" t="s">
        <v>262</v>
      </c>
      <c r="AA264" s="34">
        <v>0</v>
      </c>
      <c r="AB264" s="34">
        <v>0</v>
      </c>
      <c r="AC264" s="35">
        <v>0</v>
      </c>
      <c r="AD264" s="35">
        <v>0</v>
      </c>
      <c r="AE264" s="35">
        <v>0</v>
      </c>
      <c r="AF264" s="24">
        <v>0</v>
      </c>
      <c r="AG264" s="21">
        <f t="shared" si="386"/>
        <v>0</v>
      </c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26"/>
      <c r="BC264" s="126"/>
      <c r="BD264" s="126"/>
      <c r="BE264" s="126"/>
      <c r="BF264" s="126"/>
      <c r="BG264" s="126"/>
      <c r="BH264" s="126"/>
      <c r="BI264" s="126"/>
      <c r="BJ264" s="126"/>
      <c r="BK264" s="126"/>
      <c r="BL264" s="126"/>
      <c r="BM264" s="126"/>
      <c r="BN264" s="126"/>
      <c r="BO264" s="126"/>
      <c r="BP264" s="126"/>
      <c r="BQ264" s="126"/>
      <c r="BR264" s="126"/>
      <c r="BS264" s="126"/>
      <c r="BT264" s="126"/>
      <c r="BU264" s="18"/>
    </row>
    <row r="265" spans="2:73" ht="22.2" thickBot="1" x14ac:dyDescent="0.5">
      <c r="B265" s="3" t="s">
        <v>261</v>
      </c>
      <c r="C265" s="4" t="s">
        <v>162</v>
      </c>
      <c r="D265" s="11">
        <v>43591</v>
      </c>
      <c r="E265" s="5">
        <v>0</v>
      </c>
      <c r="F265" s="5">
        <f t="shared" si="383"/>
        <v>0</v>
      </c>
      <c r="G265" s="5">
        <f t="shared" si="384"/>
        <v>0</v>
      </c>
      <c r="H265" s="41">
        <f t="shared" si="385"/>
        <v>0</v>
      </c>
      <c r="I265" s="6">
        <v>15</v>
      </c>
      <c r="J265" s="79"/>
      <c r="K265" s="7"/>
      <c r="L265" s="8">
        <v>44322</v>
      </c>
      <c r="M265" s="7"/>
      <c r="N265" s="46" t="s">
        <v>302</v>
      </c>
      <c r="Z265" s="3" t="s">
        <v>261</v>
      </c>
      <c r="AA265" s="34">
        <v>0</v>
      </c>
      <c r="AB265" s="34">
        <v>0</v>
      </c>
      <c r="AC265" s="35">
        <v>0</v>
      </c>
      <c r="AD265" s="35">
        <v>0</v>
      </c>
      <c r="AE265" s="35">
        <v>0</v>
      </c>
      <c r="AF265" s="24">
        <v>0</v>
      </c>
      <c r="AG265" s="21">
        <f t="shared" si="386"/>
        <v>0</v>
      </c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26"/>
      <c r="BC265" s="126"/>
      <c r="BD265" s="126"/>
      <c r="BE265" s="126"/>
      <c r="BF265" s="126"/>
      <c r="BG265" s="126"/>
      <c r="BH265" s="126"/>
      <c r="BI265" s="126"/>
      <c r="BJ265" s="126"/>
      <c r="BK265" s="126"/>
      <c r="BL265" s="126"/>
      <c r="BM265" s="126"/>
      <c r="BN265" s="126"/>
      <c r="BO265" s="126"/>
      <c r="BP265" s="126"/>
      <c r="BQ265" s="126"/>
      <c r="BR265" s="126"/>
      <c r="BS265" s="126"/>
      <c r="BT265" s="126"/>
      <c r="BU265" s="18"/>
    </row>
    <row r="266" spans="2:73" ht="22.2" thickBot="1" x14ac:dyDescent="0.5">
      <c r="B266" s="3" t="s">
        <v>11</v>
      </c>
      <c r="C266" s="4" t="s">
        <v>162</v>
      </c>
      <c r="D266" s="3" t="s">
        <v>96</v>
      </c>
      <c r="E266" s="5">
        <v>6</v>
      </c>
      <c r="F266" s="5">
        <f t="shared" si="383"/>
        <v>3199.9800000000005</v>
      </c>
      <c r="G266" s="5">
        <f t="shared" si="384"/>
        <v>0</v>
      </c>
      <c r="H266" s="41">
        <f t="shared" si="385"/>
        <v>3199.9800000000005</v>
      </c>
      <c r="I266" s="6">
        <v>9</v>
      </c>
      <c r="J266" s="79"/>
      <c r="K266" s="7"/>
      <c r="L266" s="25">
        <v>44562</v>
      </c>
      <c r="M266" s="7"/>
      <c r="N266" s="46" t="s">
        <v>302</v>
      </c>
      <c r="Z266" s="3" t="s">
        <v>11</v>
      </c>
      <c r="AA266" s="34">
        <v>1050</v>
      </c>
      <c r="AB266" s="34">
        <v>96</v>
      </c>
      <c r="AC266" s="35">
        <v>96</v>
      </c>
      <c r="AD266" s="35">
        <v>120</v>
      </c>
      <c r="AE266" s="35">
        <v>78</v>
      </c>
      <c r="AF266" s="24">
        <v>78</v>
      </c>
      <c r="AG266" s="21">
        <f t="shared" si="386"/>
        <v>0</v>
      </c>
      <c r="AH266" s="42">
        <v>0</v>
      </c>
      <c r="AI266" s="42"/>
      <c r="AJ266" s="35">
        <v>0</v>
      </c>
      <c r="AK266" s="21">
        <f t="shared" ref="AK266:AK273" si="387">(+AG266+AH266)-AJ266</f>
        <v>0</v>
      </c>
      <c r="AL266" s="42"/>
      <c r="AM266" s="42"/>
      <c r="AN266" s="35"/>
      <c r="AO266" s="21"/>
      <c r="AP266" s="42"/>
      <c r="AQ266" s="42"/>
      <c r="AR266" s="35"/>
      <c r="AS266" s="21"/>
      <c r="AT266" s="21"/>
      <c r="AU266" s="21"/>
      <c r="AV266" s="21"/>
      <c r="AW266" s="21"/>
      <c r="AX266" s="21"/>
      <c r="AY266" s="21"/>
      <c r="AZ266" s="21"/>
      <c r="BA266" s="21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  <c r="BM266" s="127"/>
      <c r="BN266" s="127"/>
      <c r="BO266" s="127"/>
      <c r="BP266" s="127"/>
      <c r="BQ266" s="127"/>
      <c r="BR266" s="127"/>
      <c r="BS266" s="127"/>
      <c r="BT266" s="127"/>
      <c r="BU266" s="18"/>
    </row>
    <row r="267" spans="2:73" ht="22.2" thickBot="1" x14ac:dyDescent="0.5">
      <c r="B267" s="3" t="s">
        <v>202</v>
      </c>
      <c r="C267" s="4" t="s">
        <v>164</v>
      </c>
      <c r="D267" s="3" t="s">
        <v>101</v>
      </c>
      <c r="E267" s="5">
        <v>5</v>
      </c>
      <c r="F267" s="5">
        <f t="shared" si="383"/>
        <v>2666.65</v>
      </c>
      <c r="G267" s="5">
        <f t="shared" si="384"/>
        <v>0</v>
      </c>
      <c r="H267" s="41">
        <f t="shared" si="385"/>
        <v>2666.65</v>
      </c>
      <c r="I267" s="6">
        <v>10</v>
      </c>
      <c r="J267" s="79"/>
      <c r="K267" s="7"/>
      <c r="L267" s="25">
        <v>44197</v>
      </c>
      <c r="M267" s="7"/>
      <c r="N267" s="46" t="s">
        <v>302</v>
      </c>
      <c r="Z267" s="3" t="s">
        <v>203</v>
      </c>
      <c r="AA267" s="34">
        <v>1020</v>
      </c>
      <c r="AB267" s="34">
        <v>96</v>
      </c>
      <c r="AC267" s="35">
        <v>96</v>
      </c>
      <c r="AD267" s="35">
        <v>115.8</v>
      </c>
      <c r="AE267" s="35">
        <v>78</v>
      </c>
      <c r="AF267" s="24">
        <v>78</v>
      </c>
      <c r="AG267" s="21">
        <f t="shared" si="386"/>
        <v>0</v>
      </c>
      <c r="AH267" s="42">
        <v>0</v>
      </c>
      <c r="AI267" s="42"/>
      <c r="AJ267" s="35">
        <v>0</v>
      </c>
      <c r="AK267" s="21">
        <f t="shared" si="387"/>
        <v>0</v>
      </c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26"/>
      <c r="BC267" s="126"/>
      <c r="BD267" s="126"/>
      <c r="BE267" s="126"/>
      <c r="BF267" s="126"/>
      <c r="BG267" s="126"/>
      <c r="BH267" s="126"/>
      <c r="BI267" s="126"/>
      <c r="BJ267" s="126"/>
      <c r="BK267" s="126"/>
      <c r="BL267" s="126"/>
      <c r="BM267" s="126"/>
      <c r="BN267" s="126"/>
      <c r="BO267" s="126"/>
      <c r="BP267" s="126"/>
      <c r="BQ267" s="126"/>
      <c r="BR267" s="126"/>
      <c r="BS267" s="126"/>
      <c r="BT267" s="126"/>
      <c r="BU267" s="18"/>
    </row>
    <row r="268" spans="2:73" ht="22.2" thickBot="1" x14ac:dyDescent="0.5">
      <c r="B268" s="3" t="s">
        <v>294</v>
      </c>
      <c r="C268" s="4" t="s">
        <v>168</v>
      </c>
      <c r="D268" s="11">
        <v>43710</v>
      </c>
      <c r="E268" s="5">
        <v>0</v>
      </c>
      <c r="F268" s="5">
        <f t="shared" si="383"/>
        <v>0</v>
      </c>
      <c r="G268" s="5">
        <f t="shared" si="384"/>
        <v>0</v>
      </c>
      <c r="H268" s="41">
        <f t="shared" si="385"/>
        <v>0</v>
      </c>
      <c r="I268" s="6">
        <v>15</v>
      </c>
      <c r="J268" s="79"/>
      <c r="K268" s="7"/>
      <c r="L268" s="25">
        <v>44441</v>
      </c>
      <c r="M268" s="7"/>
      <c r="N268" s="46" t="s">
        <v>302</v>
      </c>
      <c r="Z268" s="3" t="s">
        <v>291</v>
      </c>
      <c r="AA268" s="36">
        <v>0</v>
      </c>
      <c r="AB268" s="34">
        <v>0</v>
      </c>
      <c r="AC268" s="35">
        <v>0</v>
      </c>
      <c r="AD268" s="35">
        <v>0</v>
      </c>
      <c r="AE268" s="35">
        <v>0</v>
      </c>
      <c r="AF268" s="24">
        <v>0</v>
      </c>
      <c r="AG268" s="21">
        <f t="shared" si="386"/>
        <v>0</v>
      </c>
      <c r="AH268" s="42">
        <v>78</v>
      </c>
      <c r="AI268" s="42"/>
      <c r="AJ268" s="35">
        <v>78</v>
      </c>
      <c r="AK268" s="21">
        <f t="shared" si="387"/>
        <v>0</v>
      </c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26"/>
      <c r="BC268" s="126"/>
      <c r="BD268" s="126"/>
      <c r="BE268" s="126"/>
      <c r="BF268" s="126"/>
      <c r="BG268" s="126"/>
      <c r="BH268" s="126"/>
      <c r="BI268" s="126"/>
      <c r="BJ268" s="126"/>
      <c r="BK268" s="126"/>
      <c r="BL268" s="126"/>
      <c r="BM268" s="126"/>
      <c r="BN268" s="126"/>
      <c r="BO268" s="126"/>
      <c r="BP268" s="126"/>
      <c r="BQ268" s="126"/>
      <c r="BR268" s="126"/>
      <c r="BS268" s="126"/>
      <c r="BT268" s="126"/>
      <c r="BU268" s="18"/>
    </row>
    <row r="269" spans="2:73" ht="22.2" thickBot="1" x14ac:dyDescent="0.5">
      <c r="B269" s="3" t="s">
        <v>225</v>
      </c>
      <c r="C269" s="4" t="s">
        <v>166</v>
      </c>
      <c r="D269" s="9"/>
      <c r="E269" s="5">
        <v>1</v>
      </c>
      <c r="F269" s="5">
        <f>+E269*$C$1</f>
        <v>533.33000000000004</v>
      </c>
      <c r="G269" s="5">
        <f>+BU269</f>
        <v>0</v>
      </c>
      <c r="H269" s="41">
        <f>+F269+G269</f>
        <v>533.33000000000004</v>
      </c>
      <c r="I269" s="6">
        <v>15</v>
      </c>
      <c r="J269" s="79"/>
      <c r="K269" s="7"/>
      <c r="L269" s="25">
        <v>44334</v>
      </c>
      <c r="M269" s="7"/>
      <c r="N269" s="46" t="s">
        <v>302</v>
      </c>
      <c r="Z269" s="3" t="s">
        <v>224</v>
      </c>
      <c r="AA269" s="34">
        <v>0</v>
      </c>
      <c r="AB269" s="34">
        <v>0</v>
      </c>
      <c r="AC269" s="35">
        <v>0</v>
      </c>
      <c r="AD269" s="35">
        <v>111.5</v>
      </c>
      <c r="AE269" s="35">
        <v>0</v>
      </c>
      <c r="AF269" s="24">
        <v>0</v>
      </c>
      <c r="AG269" s="21">
        <f>+AF269-AE269</f>
        <v>0</v>
      </c>
      <c r="AH269" s="42">
        <v>108</v>
      </c>
      <c r="AI269" s="42"/>
      <c r="AJ269" s="35">
        <v>108</v>
      </c>
      <c r="AK269" s="21">
        <f t="shared" si="387"/>
        <v>0</v>
      </c>
      <c r="AL269" s="42"/>
      <c r="AM269" s="42"/>
      <c r="AN269" s="35"/>
      <c r="AO269" s="21"/>
      <c r="AP269" s="42"/>
      <c r="AQ269" s="42"/>
      <c r="AR269" s="35"/>
      <c r="AS269" s="21"/>
      <c r="AT269" s="21"/>
      <c r="AU269" s="21"/>
      <c r="AV269" s="21"/>
      <c r="AW269" s="21"/>
      <c r="AX269" s="21"/>
      <c r="AY269" s="21"/>
      <c r="AZ269" s="21"/>
      <c r="BA269" s="21"/>
      <c r="BB269" s="127"/>
      <c r="BC269" s="127"/>
      <c r="BD269" s="127"/>
      <c r="BE269" s="127"/>
      <c r="BF269" s="127"/>
      <c r="BG269" s="127"/>
      <c r="BH269" s="127"/>
      <c r="BI269" s="127"/>
      <c r="BJ269" s="127"/>
      <c r="BK269" s="127"/>
      <c r="BL269" s="127"/>
      <c r="BM269" s="127"/>
      <c r="BN269" s="127"/>
      <c r="BO269" s="127"/>
      <c r="BP269" s="127"/>
      <c r="BQ269" s="127"/>
      <c r="BR269" s="127"/>
      <c r="BS269" s="127"/>
      <c r="BT269" s="127"/>
      <c r="BU269" s="18"/>
    </row>
    <row r="270" spans="2:73" ht="22.2" thickBot="1" x14ac:dyDescent="0.5">
      <c r="B270" s="3" t="s">
        <v>13</v>
      </c>
      <c r="C270" s="4" t="s">
        <v>165</v>
      </c>
      <c r="D270" s="3" t="s">
        <v>96</v>
      </c>
      <c r="E270" s="5">
        <v>6</v>
      </c>
      <c r="F270" s="5">
        <f>+E270*$C$1</f>
        <v>3199.9800000000005</v>
      </c>
      <c r="G270" s="5">
        <f>+BU270</f>
        <v>0</v>
      </c>
      <c r="H270" s="41">
        <f>+F270+G270</f>
        <v>3199.9800000000005</v>
      </c>
      <c r="I270" s="6">
        <v>9</v>
      </c>
      <c r="J270" s="79"/>
      <c r="K270" s="7"/>
      <c r="L270" s="25">
        <v>44340</v>
      </c>
      <c r="M270" s="7"/>
      <c r="N270" s="46" t="s">
        <v>302</v>
      </c>
      <c r="Z270" s="3" t="s">
        <v>13</v>
      </c>
      <c r="AA270" s="34">
        <v>1200</v>
      </c>
      <c r="AB270" s="34">
        <v>96</v>
      </c>
      <c r="AC270" s="35">
        <v>120</v>
      </c>
      <c r="AD270" s="35">
        <v>150</v>
      </c>
      <c r="AE270" s="35">
        <v>150</v>
      </c>
      <c r="AF270" s="24">
        <v>234</v>
      </c>
      <c r="AG270" s="21">
        <f>+AF270-AE270</f>
        <v>84</v>
      </c>
      <c r="AH270" s="42">
        <v>78</v>
      </c>
      <c r="AI270" s="42"/>
      <c r="AJ270" s="35">
        <v>150</v>
      </c>
      <c r="AK270" s="21">
        <f t="shared" si="387"/>
        <v>12</v>
      </c>
      <c r="AL270" s="42"/>
      <c r="AM270" s="42"/>
      <c r="AN270" s="35"/>
      <c r="AO270" s="21"/>
      <c r="AP270" s="42"/>
      <c r="AQ270" s="42"/>
      <c r="AR270" s="35"/>
      <c r="AS270" s="21"/>
      <c r="AT270" s="21"/>
      <c r="AU270" s="21"/>
      <c r="AV270" s="21"/>
      <c r="AW270" s="21"/>
      <c r="AX270" s="21"/>
      <c r="AY270" s="21"/>
      <c r="AZ270" s="21"/>
      <c r="BA270" s="21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  <c r="BM270" s="127"/>
      <c r="BN270" s="127"/>
      <c r="BO270" s="127"/>
      <c r="BP270" s="127"/>
      <c r="BQ270" s="127"/>
      <c r="BR270" s="127"/>
      <c r="BS270" s="127"/>
      <c r="BT270" s="127"/>
      <c r="BU270" s="18"/>
    </row>
    <row r="271" spans="2:73" ht="22.2" thickBot="1" x14ac:dyDescent="0.5">
      <c r="B271" s="3" t="s">
        <v>68</v>
      </c>
      <c r="C271" s="4" t="s">
        <v>165</v>
      </c>
      <c r="D271" s="3" t="s">
        <v>146</v>
      </c>
      <c r="E271" s="5">
        <v>3</v>
      </c>
      <c r="F271" s="5">
        <f>+E271*$C$1</f>
        <v>1599.9900000000002</v>
      </c>
      <c r="G271" s="5">
        <f>+BU271</f>
        <v>0</v>
      </c>
      <c r="H271" s="41">
        <f>+F271+G271</f>
        <v>1599.9900000000002</v>
      </c>
      <c r="I271" s="6">
        <v>12</v>
      </c>
      <c r="J271" s="79"/>
      <c r="K271" s="7"/>
      <c r="L271" s="25">
        <v>44165</v>
      </c>
      <c r="M271" s="7"/>
      <c r="N271" s="46" t="s">
        <v>302</v>
      </c>
      <c r="Z271" s="3" t="s">
        <v>68</v>
      </c>
      <c r="AA271" s="34">
        <v>375</v>
      </c>
      <c r="AB271" s="34">
        <v>150</v>
      </c>
      <c r="AC271" s="35">
        <v>150</v>
      </c>
      <c r="AD271" s="35">
        <v>108</v>
      </c>
      <c r="AE271" s="35">
        <v>150</v>
      </c>
      <c r="AF271" s="24">
        <v>234</v>
      </c>
      <c r="AG271" s="21">
        <f>+AF271-AE271</f>
        <v>84</v>
      </c>
      <c r="AH271" s="42">
        <v>0</v>
      </c>
      <c r="AI271" s="42"/>
      <c r="AJ271" s="35">
        <v>84</v>
      </c>
      <c r="AK271" s="21">
        <f t="shared" si="387"/>
        <v>0</v>
      </c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26"/>
      <c r="BC271" s="126"/>
      <c r="BD271" s="126"/>
      <c r="BE271" s="126"/>
      <c r="BF271" s="126"/>
      <c r="BG271" s="126"/>
      <c r="BH271" s="126"/>
      <c r="BI271" s="126"/>
      <c r="BJ271" s="126"/>
      <c r="BK271" s="126"/>
      <c r="BL271" s="126"/>
      <c r="BM271" s="126"/>
      <c r="BN271" s="126"/>
      <c r="BO271" s="126"/>
      <c r="BP271" s="126"/>
      <c r="BQ271" s="126"/>
      <c r="BR271" s="126"/>
      <c r="BS271" s="126"/>
      <c r="BT271" s="126"/>
      <c r="BU271" s="18"/>
    </row>
    <row r="272" spans="2:73" ht="22.2" thickBot="1" x14ac:dyDescent="0.5">
      <c r="B272" s="3" t="s">
        <v>269</v>
      </c>
      <c r="C272" s="4" t="s">
        <v>166</v>
      </c>
      <c r="D272" s="11">
        <v>43683</v>
      </c>
      <c r="E272" s="5">
        <v>0</v>
      </c>
      <c r="F272" s="5">
        <f>+E272*$C$1</f>
        <v>0</v>
      </c>
      <c r="G272" s="5">
        <f>+BU272</f>
        <v>0</v>
      </c>
      <c r="H272" s="41">
        <f>+F272+G272</f>
        <v>0</v>
      </c>
      <c r="I272" s="6">
        <v>15</v>
      </c>
      <c r="J272" s="79"/>
      <c r="K272" s="7"/>
      <c r="L272" s="25">
        <v>44414</v>
      </c>
      <c r="M272" s="7"/>
      <c r="N272" s="46" t="s">
        <v>302</v>
      </c>
      <c r="Z272" s="3" t="s">
        <v>269</v>
      </c>
      <c r="AA272" s="36">
        <v>0</v>
      </c>
      <c r="AB272" s="34">
        <v>0</v>
      </c>
      <c r="AC272" s="35">
        <v>0</v>
      </c>
      <c r="AD272" s="35">
        <v>0</v>
      </c>
      <c r="AE272" s="35">
        <v>0</v>
      </c>
      <c r="AF272" s="24">
        <v>0</v>
      </c>
      <c r="AG272" s="21">
        <f>+AF272-AE272</f>
        <v>0</v>
      </c>
      <c r="AH272" s="42">
        <v>0</v>
      </c>
      <c r="AI272" s="42"/>
      <c r="AJ272" s="35">
        <v>0</v>
      </c>
      <c r="AK272" s="21">
        <f t="shared" si="387"/>
        <v>0</v>
      </c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26"/>
      <c r="BC272" s="126"/>
      <c r="BD272" s="126"/>
      <c r="BE272" s="126"/>
      <c r="BF272" s="126"/>
      <c r="BG272" s="126"/>
      <c r="BH272" s="126"/>
      <c r="BI272" s="126"/>
      <c r="BJ272" s="126"/>
      <c r="BK272" s="126"/>
      <c r="BL272" s="126"/>
      <c r="BM272" s="126"/>
      <c r="BN272" s="126"/>
      <c r="BO272" s="126"/>
      <c r="BP272" s="126"/>
      <c r="BQ272" s="126"/>
      <c r="BR272" s="126"/>
      <c r="BS272" s="126"/>
      <c r="BT272" s="126"/>
      <c r="BU272" s="18"/>
    </row>
    <row r="273" spans="2:73" ht="22.2" thickBot="1" x14ac:dyDescent="0.5">
      <c r="B273" s="3" t="s">
        <v>275</v>
      </c>
      <c r="C273" s="4" t="s">
        <v>162</v>
      </c>
      <c r="D273" s="3" t="s">
        <v>93</v>
      </c>
      <c r="E273" s="5">
        <v>6</v>
      </c>
      <c r="F273" s="5">
        <f t="shared" ref="F273" si="388">+E273*$C$1</f>
        <v>3199.9800000000005</v>
      </c>
      <c r="G273" s="5">
        <f t="shared" ref="G273" si="389">+BU273</f>
        <v>0</v>
      </c>
      <c r="H273" s="41">
        <f t="shared" ref="H273" si="390">+F273+G273</f>
        <v>3199.9800000000005</v>
      </c>
      <c r="I273" s="6">
        <v>9</v>
      </c>
      <c r="J273" s="79"/>
      <c r="K273" s="7"/>
      <c r="L273" s="25">
        <v>44013</v>
      </c>
      <c r="M273" s="7"/>
      <c r="N273" s="46" t="s">
        <v>302</v>
      </c>
      <c r="Z273" s="3" t="s">
        <v>8</v>
      </c>
      <c r="AA273" s="34">
        <v>1200</v>
      </c>
      <c r="AB273" s="34">
        <v>96</v>
      </c>
      <c r="AC273" s="35">
        <v>108</v>
      </c>
      <c r="AD273" s="35">
        <v>120</v>
      </c>
      <c r="AE273" s="35">
        <v>78</v>
      </c>
      <c r="AF273" s="24">
        <v>78</v>
      </c>
      <c r="AG273" s="21">
        <f t="shared" ref="AG273" si="391">+AF273-AE273</f>
        <v>0</v>
      </c>
      <c r="AH273" s="42">
        <v>132</v>
      </c>
      <c r="AI273" s="42"/>
      <c r="AJ273" s="35">
        <v>120</v>
      </c>
      <c r="AK273" s="21">
        <f t="shared" si="387"/>
        <v>12</v>
      </c>
      <c r="AL273" s="42"/>
      <c r="AM273" s="42"/>
      <c r="AN273" s="35"/>
      <c r="AO273" s="21"/>
      <c r="AP273" s="42"/>
      <c r="AQ273" s="42"/>
      <c r="AR273" s="35"/>
      <c r="AS273" s="21"/>
      <c r="AT273" s="21"/>
      <c r="AU273" s="21"/>
      <c r="AV273" s="21"/>
      <c r="AW273" s="21"/>
      <c r="AX273" s="21"/>
      <c r="AY273" s="21"/>
      <c r="AZ273" s="21"/>
      <c r="BA273" s="21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  <c r="BM273" s="127"/>
      <c r="BN273" s="127"/>
      <c r="BO273" s="127"/>
      <c r="BP273" s="127"/>
      <c r="BQ273" s="127"/>
      <c r="BR273" s="127"/>
      <c r="BS273" s="127"/>
      <c r="BT273" s="127"/>
      <c r="BU273" s="18"/>
    </row>
    <row r="274" spans="2:73" ht="22.2" thickBot="1" x14ac:dyDescent="0.5">
      <c r="B274" s="3" t="s">
        <v>56</v>
      </c>
      <c r="C274" s="4" t="s">
        <v>168</v>
      </c>
      <c r="D274" s="3" t="s">
        <v>136</v>
      </c>
      <c r="E274" s="5">
        <v>15</v>
      </c>
      <c r="F274" s="5">
        <f t="shared" ref="F274:F282" si="392">+E274*$C$1</f>
        <v>7999.9500000000007</v>
      </c>
      <c r="G274" s="5">
        <f>+BU274</f>
        <v>0</v>
      </c>
      <c r="H274" s="41">
        <f t="shared" ref="H274:H281" si="393">+F274+G274</f>
        <v>7999.9500000000007</v>
      </c>
      <c r="I274" s="6">
        <v>2</v>
      </c>
      <c r="J274" s="79"/>
      <c r="K274" s="7"/>
      <c r="L274" s="25"/>
      <c r="M274" s="7"/>
      <c r="N274" s="46" t="s">
        <v>302</v>
      </c>
      <c r="Z274" s="3" t="s">
        <v>56</v>
      </c>
      <c r="AA274" s="34">
        <v>1944</v>
      </c>
      <c r="AB274" s="34">
        <v>96</v>
      </c>
      <c r="AC274" s="35">
        <v>96</v>
      </c>
      <c r="AD274" s="35">
        <v>96</v>
      </c>
      <c r="AE274" s="35">
        <v>0</v>
      </c>
      <c r="AF274" s="24">
        <v>0</v>
      </c>
      <c r="AG274" s="21">
        <f t="shared" ref="AG274:AG282" si="394">+AF274-AE274</f>
        <v>0</v>
      </c>
      <c r="AH274" s="42">
        <v>0</v>
      </c>
      <c r="AI274" s="42"/>
      <c r="AJ274" s="35">
        <v>0</v>
      </c>
      <c r="AK274" s="21">
        <f>(+AG274+AH274)-AJ274</f>
        <v>0</v>
      </c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26"/>
      <c r="BC274" s="126"/>
      <c r="BD274" s="126"/>
      <c r="BE274" s="126"/>
      <c r="BF274" s="126"/>
      <c r="BG274" s="126"/>
      <c r="BH274" s="126"/>
      <c r="BI274" s="126"/>
      <c r="BJ274" s="126"/>
      <c r="BK274" s="126"/>
      <c r="BL274" s="126"/>
      <c r="BM274" s="126"/>
      <c r="BN274" s="126"/>
      <c r="BO274" s="126"/>
      <c r="BP274" s="126"/>
      <c r="BQ274" s="126"/>
      <c r="BR274" s="126"/>
      <c r="BS274" s="126"/>
      <c r="BT274" s="126"/>
      <c r="BU274" s="18"/>
    </row>
    <row r="275" spans="2:73" ht="22.2" thickBot="1" x14ac:dyDescent="0.5">
      <c r="B275" s="3" t="s">
        <v>220</v>
      </c>
      <c r="C275" s="4" t="s">
        <v>165</v>
      </c>
      <c r="D275" s="3"/>
      <c r="E275" s="5">
        <v>6</v>
      </c>
      <c r="F275" s="5">
        <f t="shared" si="392"/>
        <v>3199.9800000000005</v>
      </c>
      <c r="G275" s="5">
        <f>+BU275</f>
        <v>0</v>
      </c>
      <c r="H275" s="41">
        <f t="shared" si="393"/>
        <v>3199.9800000000005</v>
      </c>
      <c r="I275" s="6">
        <v>9</v>
      </c>
      <c r="J275" s="79"/>
      <c r="K275" s="7"/>
      <c r="L275" s="25">
        <v>44621</v>
      </c>
      <c r="M275" s="7"/>
      <c r="N275" s="46" t="s">
        <v>302</v>
      </c>
      <c r="Z275" s="3" t="s">
        <v>220</v>
      </c>
      <c r="AA275" s="34">
        <v>1821.6</v>
      </c>
      <c r="AB275" s="34">
        <v>0</v>
      </c>
      <c r="AC275" s="35">
        <v>0</v>
      </c>
      <c r="AD275" s="35">
        <v>150</v>
      </c>
      <c r="AE275" s="35">
        <v>150</v>
      </c>
      <c r="AF275" s="24">
        <v>264.60000000000002</v>
      </c>
      <c r="AG275" s="21">
        <f t="shared" si="394"/>
        <v>114.60000000000002</v>
      </c>
      <c r="AH275" s="42">
        <v>108.6</v>
      </c>
      <c r="AI275" s="42">
        <f>+(78)+(0)+(0)+(0)+(0)+(0)</f>
        <v>78</v>
      </c>
      <c r="AJ275" s="35">
        <v>150</v>
      </c>
      <c r="AK275" s="50">
        <f t="shared" ref="AK275:AK282" si="395">+AG275+(AH275+AI275)-AJ275</f>
        <v>151.20000000000005</v>
      </c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26"/>
      <c r="BC275" s="126"/>
      <c r="BD275" s="126"/>
      <c r="BE275" s="126"/>
      <c r="BF275" s="126"/>
      <c r="BG275" s="126"/>
      <c r="BH275" s="126"/>
      <c r="BI275" s="126"/>
      <c r="BJ275" s="126"/>
      <c r="BK275" s="126"/>
      <c r="BL275" s="126"/>
      <c r="BM275" s="126"/>
      <c r="BN275" s="126"/>
      <c r="BO275" s="126"/>
      <c r="BP275" s="126"/>
      <c r="BQ275" s="126"/>
      <c r="BR275" s="126"/>
      <c r="BS275" s="126"/>
      <c r="BT275" s="126"/>
      <c r="BU275" s="18"/>
    </row>
    <row r="276" spans="2:73" ht="22.2" thickBot="1" x14ac:dyDescent="0.5">
      <c r="B276" s="3" t="s">
        <v>250</v>
      </c>
      <c r="C276" s="4" t="s">
        <v>164</v>
      </c>
      <c r="D276" s="3" t="s">
        <v>249</v>
      </c>
      <c r="E276" s="51">
        <v>7</v>
      </c>
      <c r="F276" s="5">
        <f t="shared" si="392"/>
        <v>3733.3100000000004</v>
      </c>
      <c r="G276" s="5">
        <f>+'BIENIOS EDUARDO FREI M.'!BU276</f>
        <v>0</v>
      </c>
      <c r="H276" s="41">
        <f t="shared" si="393"/>
        <v>3733.3100000000004</v>
      </c>
      <c r="I276" s="6">
        <v>8</v>
      </c>
      <c r="J276" s="79"/>
      <c r="K276" s="7"/>
      <c r="L276" s="52">
        <v>44241</v>
      </c>
      <c r="M276" s="7"/>
      <c r="N276" s="46" t="s">
        <v>302</v>
      </c>
      <c r="Z276" s="3" t="s">
        <v>250</v>
      </c>
      <c r="AA276" s="37">
        <v>1350</v>
      </c>
      <c r="AB276" s="34">
        <v>96</v>
      </c>
      <c r="AC276" s="35">
        <v>96</v>
      </c>
      <c r="AD276" s="35">
        <v>120</v>
      </c>
      <c r="AE276" s="35">
        <v>0</v>
      </c>
      <c r="AF276" s="24">
        <v>0</v>
      </c>
      <c r="AG276" s="21">
        <f t="shared" si="394"/>
        <v>0</v>
      </c>
      <c r="AH276" s="42">
        <v>0</v>
      </c>
      <c r="AI276" s="42">
        <f t="shared" ref="AI276:AI296" si="396">+(0)+(0)+(0)+(0)+(0)+(0)</f>
        <v>0</v>
      </c>
      <c r="AJ276" s="35">
        <v>0</v>
      </c>
      <c r="AK276" s="50">
        <f t="shared" si="395"/>
        <v>0</v>
      </c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26"/>
      <c r="BC276" s="126"/>
      <c r="BD276" s="126"/>
      <c r="BE276" s="126"/>
      <c r="BF276" s="126"/>
      <c r="BG276" s="126"/>
      <c r="BH276" s="126"/>
      <c r="BI276" s="126"/>
      <c r="BJ276" s="126"/>
      <c r="BK276" s="126"/>
      <c r="BL276" s="126"/>
      <c r="BM276" s="126"/>
      <c r="BN276" s="126"/>
      <c r="BO276" s="126"/>
      <c r="BP276" s="126"/>
      <c r="BQ276" s="126"/>
      <c r="BR276" s="126"/>
      <c r="BS276" s="126"/>
      <c r="BT276" s="126"/>
      <c r="BU276" s="18"/>
    </row>
    <row r="277" spans="2:73" ht="22.2" thickBot="1" x14ac:dyDescent="0.5">
      <c r="B277" s="3" t="s">
        <v>50</v>
      </c>
      <c r="C277" s="4" t="s">
        <v>166</v>
      </c>
      <c r="D277" s="3" t="s">
        <v>130</v>
      </c>
      <c r="E277" s="5">
        <v>15</v>
      </c>
      <c r="F277" s="5">
        <f t="shared" si="392"/>
        <v>7999.9500000000007</v>
      </c>
      <c r="G277" s="5">
        <f>+BU277</f>
        <v>0</v>
      </c>
      <c r="H277" s="41">
        <f t="shared" si="393"/>
        <v>7999.9500000000007</v>
      </c>
      <c r="I277" s="6">
        <v>2</v>
      </c>
      <c r="J277" s="79"/>
      <c r="K277" s="7"/>
      <c r="L277" s="25"/>
      <c r="M277" s="7"/>
      <c r="N277" s="39" t="s">
        <v>170</v>
      </c>
      <c r="Z277" s="3" t="s">
        <v>50</v>
      </c>
      <c r="AA277" s="34">
        <v>3245</v>
      </c>
      <c r="AB277" s="34">
        <v>96</v>
      </c>
      <c r="AC277" s="35">
        <v>108</v>
      </c>
      <c r="AD277" s="35">
        <v>96</v>
      </c>
      <c r="AE277" s="35">
        <v>0</v>
      </c>
      <c r="AF277" s="24">
        <v>0</v>
      </c>
      <c r="AG277" s="21">
        <f t="shared" si="394"/>
        <v>0</v>
      </c>
      <c r="AH277" s="42">
        <v>0</v>
      </c>
      <c r="AI277" s="42">
        <f t="shared" si="177"/>
        <v>0</v>
      </c>
      <c r="AJ277" s="35">
        <v>0</v>
      </c>
      <c r="AK277" s="50">
        <f t="shared" si="395"/>
        <v>0</v>
      </c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26"/>
      <c r="BC277" s="126"/>
      <c r="BD277" s="126"/>
      <c r="BE277" s="126"/>
      <c r="BF277" s="126"/>
      <c r="BG277" s="126"/>
      <c r="BH277" s="126"/>
      <c r="BI277" s="126"/>
      <c r="BJ277" s="126"/>
      <c r="BK277" s="126"/>
      <c r="BL277" s="126"/>
      <c r="BM277" s="126"/>
      <c r="BN277" s="126"/>
      <c r="BO277" s="126"/>
      <c r="BP277" s="126"/>
      <c r="BQ277" s="126"/>
      <c r="BR277" s="126"/>
      <c r="BS277" s="126"/>
      <c r="BT277" s="126"/>
      <c r="BU277" s="18"/>
    </row>
    <row r="278" spans="2:73" ht="22.2" thickBot="1" x14ac:dyDescent="0.5">
      <c r="B278" s="3" t="s">
        <v>277</v>
      </c>
      <c r="C278" s="4" t="s">
        <v>165</v>
      </c>
      <c r="D278" s="11">
        <v>43304</v>
      </c>
      <c r="E278" s="5">
        <v>1</v>
      </c>
      <c r="F278" s="5">
        <f t="shared" si="392"/>
        <v>533.33000000000004</v>
      </c>
      <c r="G278" s="5">
        <f>+BU278</f>
        <v>0</v>
      </c>
      <c r="H278" s="41">
        <f t="shared" si="393"/>
        <v>533.33000000000004</v>
      </c>
      <c r="I278" s="6">
        <v>14</v>
      </c>
      <c r="J278" s="79"/>
      <c r="K278" s="7"/>
      <c r="L278" s="25">
        <v>44765</v>
      </c>
      <c r="M278" s="7"/>
      <c r="N278" s="46" t="s">
        <v>302</v>
      </c>
      <c r="Z278" s="3" t="s">
        <v>277</v>
      </c>
      <c r="AA278" s="34">
        <v>0</v>
      </c>
      <c r="AB278" s="34">
        <v>0</v>
      </c>
      <c r="AC278" s="35">
        <v>0</v>
      </c>
      <c r="AD278" s="35">
        <v>0</v>
      </c>
      <c r="AE278" s="35">
        <v>150</v>
      </c>
      <c r="AF278" s="24">
        <v>198</v>
      </c>
      <c r="AG278" s="21">
        <f t="shared" si="394"/>
        <v>48</v>
      </c>
      <c r="AH278" s="42">
        <v>240.6</v>
      </c>
      <c r="AI278" s="42">
        <f>+(0)+(0)+(0)+(0)+(156)+(145.8)</f>
        <v>301.8</v>
      </c>
      <c r="AJ278" s="35">
        <v>150</v>
      </c>
      <c r="AK278" s="17">
        <f t="shared" si="395"/>
        <v>440.4</v>
      </c>
      <c r="AL278" s="42">
        <f>+(0)+(0)+(0)+(0)+(0)+(0)</f>
        <v>0</v>
      </c>
      <c r="AM278" s="42">
        <f>+(0)+(0)+(0)+(0)+(0)+(0)</f>
        <v>0</v>
      </c>
      <c r="AN278" s="35">
        <v>150</v>
      </c>
      <c r="AO278" s="21">
        <f t="shared" ref="AO278:AO283" si="397">+AK278+AL278+AM278-AN278</f>
        <v>290.39999999999998</v>
      </c>
      <c r="AP278" s="42"/>
      <c r="AQ278" s="42"/>
      <c r="AR278" s="35"/>
      <c r="AS278" s="21"/>
      <c r="AT278" s="21"/>
      <c r="AU278" s="21"/>
      <c r="AV278" s="21"/>
      <c r="AW278" s="21"/>
      <c r="AX278" s="21"/>
      <c r="AY278" s="21"/>
      <c r="AZ278" s="21"/>
      <c r="BA278" s="21"/>
      <c r="BB278" s="127"/>
      <c r="BC278" s="127"/>
      <c r="BD278" s="127"/>
      <c r="BE278" s="127"/>
      <c r="BF278" s="127"/>
      <c r="BG278" s="127"/>
      <c r="BH278" s="127"/>
      <c r="BI278" s="127"/>
      <c r="BJ278" s="127"/>
      <c r="BK278" s="127"/>
      <c r="BL278" s="127"/>
      <c r="BM278" s="127"/>
      <c r="BN278" s="127"/>
      <c r="BO278" s="127"/>
      <c r="BP278" s="127"/>
      <c r="BQ278" s="127"/>
      <c r="BR278" s="127"/>
      <c r="BS278" s="127"/>
      <c r="BT278" s="127"/>
      <c r="BU278" s="18"/>
    </row>
    <row r="279" spans="2:73" ht="22.2" thickBot="1" x14ac:dyDescent="0.5">
      <c r="B279" s="3" t="s">
        <v>270</v>
      </c>
      <c r="C279" s="4" t="s">
        <v>165</v>
      </c>
      <c r="D279" s="11">
        <v>43649</v>
      </c>
      <c r="E279" s="5">
        <v>5</v>
      </c>
      <c r="F279" s="5">
        <f t="shared" si="392"/>
        <v>2666.65</v>
      </c>
      <c r="G279" s="5">
        <f>+BU279</f>
        <v>0</v>
      </c>
      <c r="H279" s="41">
        <f t="shared" si="393"/>
        <v>2666.65</v>
      </c>
      <c r="I279" s="6">
        <v>11</v>
      </c>
      <c r="J279" s="79"/>
      <c r="K279" s="7"/>
      <c r="L279" s="25">
        <v>44778</v>
      </c>
      <c r="M279" s="7"/>
      <c r="N279" s="46" t="s">
        <v>302</v>
      </c>
      <c r="Z279" s="3" t="s">
        <v>270</v>
      </c>
      <c r="AA279" s="36">
        <v>426</v>
      </c>
      <c r="AB279" s="34">
        <v>0</v>
      </c>
      <c r="AC279" s="35">
        <v>0</v>
      </c>
      <c r="AD279" s="35">
        <v>0</v>
      </c>
      <c r="AE279" s="35">
        <v>150</v>
      </c>
      <c r="AF279" s="24">
        <v>168</v>
      </c>
      <c r="AG279" s="21">
        <f t="shared" si="394"/>
        <v>18</v>
      </c>
      <c r="AH279" s="42">
        <v>0</v>
      </c>
      <c r="AI279" s="42">
        <f>+(0)+(0)+(0)+(0)+(54.6)+(37.8)</f>
        <v>92.4</v>
      </c>
      <c r="AJ279" s="35">
        <v>110.4</v>
      </c>
      <c r="AK279" s="17">
        <f t="shared" si="395"/>
        <v>0</v>
      </c>
      <c r="AL279" s="42">
        <f>+(0)+(0)+(0)+(0)+(0)+(0)</f>
        <v>0</v>
      </c>
      <c r="AM279" s="42">
        <f>+(0)+(0)+(0)+(0)+(0)+(0)</f>
        <v>0</v>
      </c>
      <c r="AN279" s="17">
        <v>0</v>
      </c>
      <c r="AO279" s="54">
        <f t="shared" si="397"/>
        <v>0</v>
      </c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26"/>
      <c r="BC279" s="126"/>
      <c r="BD279" s="126"/>
      <c r="BE279" s="126"/>
      <c r="BF279" s="126"/>
      <c r="BG279" s="126"/>
      <c r="BH279" s="126"/>
      <c r="BI279" s="126"/>
      <c r="BJ279" s="126"/>
      <c r="BK279" s="126"/>
      <c r="BL279" s="126"/>
      <c r="BM279" s="126"/>
      <c r="BN279" s="126"/>
      <c r="BO279" s="126"/>
      <c r="BP279" s="126"/>
      <c r="BQ279" s="126"/>
      <c r="BR279" s="126"/>
      <c r="BS279" s="126"/>
      <c r="BT279" s="126"/>
      <c r="BU279" s="18"/>
    </row>
    <row r="280" spans="2:73" ht="22.2" thickBot="1" x14ac:dyDescent="0.5">
      <c r="B280" s="3" t="s">
        <v>256</v>
      </c>
      <c r="C280" s="4" t="s">
        <v>165</v>
      </c>
      <c r="D280" s="11">
        <v>43466</v>
      </c>
      <c r="E280" s="5">
        <v>4</v>
      </c>
      <c r="F280" s="5">
        <f t="shared" si="392"/>
        <v>2133.3200000000002</v>
      </c>
      <c r="G280" s="5">
        <f>+BU280</f>
        <v>0</v>
      </c>
      <c r="H280" s="41">
        <f t="shared" si="393"/>
        <v>2133.3200000000002</v>
      </c>
      <c r="I280" s="6">
        <v>12</v>
      </c>
      <c r="J280" s="79"/>
      <c r="K280" s="7"/>
      <c r="L280" s="25">
        <v>44543</v>
      </c>
      <c r="M280" s="7"/>
      <c r="N280" s="46" t="s">
        <v>302</v>
      </c>
      <c r="Z280" s="3" t="s">
        <v>256</v>
      </c>
      <c r="AA280" s="34">
        <v>580.20000000000005</v>
      </c>
      <c r="AB280" s="34">
        <v>0</v>
      </c>
      <c r="AC280" s="35">
        <v>0</v>
      </c>
      <c r="AD280" s="35">
        <v>0</v>
      </c>
      <c r="AE280" s="35">
        <v>150</v>
      </c>
      <c r="AF280" s="24">
        <v>186</v>
      </c>
      <c r="AG280" s="21">
        <f t="shared" si="394"/>
        <v>36</v>
      </c>
      <c r="AH280" s="42">
        <v>145.80000000000001</v>
      </c>
      <c r="AI280" s="42">
        <f t="shared" si="177"/>
        <v>0</v>
      </c>
      <c r="AJ280" s="35">
        <v>150</v>
      </c>
      <c r="AK280" s="17">
        <f t="shared" si="395"/>
        <v>31.800000000000011</v>
      </c>
      <c r="AL280" s="42">
        <f t="shared" si="201"/>
        <v>0</v>
      </c>
      <c r="AM280" s="42">
        <f t="shared" si="201"/>
        <v>0</v>
      </c>
      <c r="AN280" s="17">
        <v>31.8</v>
      </c>
      <c r="AO280" s="21">
        <f t="shared" si="397"/>
        <v>0</v>
      </c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26"/>
      <c r="BC280" s="126"/>
      <c r="BD280" s="126"/>
      <c r="BE280" s="126"/>
      <c r="BF280" s="126"/>
      <c r="BG280" s="126"/>
      <c r="BH280" s="126"/>
      <c r="BI280" s="126"/>
      <c r="BJ280" s="126"/>
      <c r="BK280" s="126"/>
      <c r="BL280" s="126"/>
      <c r="BM280" s="126"/>
      <c r="BN280" s="126"/>
      <c r="BO280" s="126"/>
      <c r="BP280" s="126"/>
      <c r="BQ280" s="126"/>
      <c r="BR280" s="126"/>
      <c r="BS280" s="126"/>
      <c r="BT280" s="126"/>
      <c r="BU280" s="18"/>
    </row>
    <row r="281" spans="2:73" ht="22.2" thickBot="1" x14ac:dyDescent="0.5">
      <c r="B281" s="3" t="s">
        <v>71</v>
      </c>
      <c r="C281" s="4" t="s">
        <v>165</v>
      </c>
      <c r="D281" s="3" t="s">
        <v>148</v>
      </c>
      <c r="E281" s="5">
        <v>5</v>
      </c>
      <c r="F281" s="5">
        <f t="shared" si="392"/>
        <v>2666.65</v>
      </c>
      <c r="G281" s="5">
        <f>+BU281</f>
        <v>0</v>
      </c>
      <c r="H281" s="41">
        <f t="shared" si="393"/>
        <v>2666.65</v>
      </c>
      <c r="I281" s="6">
        <v>10</v>
      </c>
      <c r="J281" s="79"/>
      <c r="K281" s="7"/>
      <c r="L281" s="25">
        <v>44774</v>
      </c>
      <c r="M281" s="7"/>
      <c r="N281" s="46" t="s">
        <v>302</v>
      </c>
      <c r="Z281" s="3" t="s">
        <v>71</v>
      </c>
      <c r="AA281" s="34">
        <v>750</v>
      </c>
      <c r="AB281" s="34">
        <v>150</v>
      </c>
      <c r="AC281" s="35">
        <v>150</v>
      </c>
      <c r="AD281" s="35">
        <v>150</v>
      </c>
      <c r="AE281" s="35">
        <v>150</v>
      </c>
      <c r="AF281" s="24">
        <v>282</v>
      </c>
      <c r="AG281" s="21">
        <f t="shared" si="394"/>
        <v>132</v>
      </c>
      <c r="AH281" s="42">
        <f>174+96+84+210</f>
        <v>564</v>
      </c>
      <c r="AI281" s="42">
        <f>+(0)+(0)+(0)+(0)+(0)+(138)</f>
        <v>138</v>
      </c>
      <c r="AJ281" s="35">
        <v>150</v>
      </c>
      <c r="AK281" s="17">
        <f t="shared" si="395"/>
        <v>684</v>
      </c>
      <c r="AL281" s="42">
        <f t="shared" si="201"/>
        <v>0</v>
      </c>
      <c r="AM281" s="42">
        <f t="shared" si="201"/>
        <v>0</v>
      </c>
      <c r="AN281" s="17">
        <v>150</v>
      </c>
      <c r="AO281" s="21">
        <f t="shared" si="397"/>
        <v>534</v>
      </c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26"/>
      <c r="BC281" s="126"/>
      <c r="BD281" s="126"/>
      <c r="BE281" s="126"/>
      <c r="BF281" s="126"/>
      <c r="BG281" s="126"/>
      <c r="BH281" s="126"/>
      <c r="BI281" s="126"/>
      <c r="BJ281" s="126"/>
      <c r="BK281" s="126"/>
      <c r="BL281" s="126"/>
      <c r="BM281" s="126"/>
      <c r="BN281" s="126"/>
      <c r="BO281" s="126"/>
      <c r="BP281" s="126"/>
      <c r="BQ281" s="126"/>
      <c r="BR281" s="126"/>
      <c r="BS281" s="126"/>
      <c r="BT281" s="126"/>
      <c r="BU281" s="18"/>
    </row>
    <row r="282" spans="2:73" ht="22.2" thickBot="1" x14ac:dyDescent="0.5">
      <c r="B282" s="3" t="s">
        <v>310</v>
      </c>
      <c r="C282" s="4" t="s">
        <v>165</v>
      </c>
      <c r="D282" s="11">
        <v>43282</v>
      </c>
      <c r="E282" s="51">
        <v>1</v>
      </c>
      <c r="F282" s="5">
        <f t="shared" si="392"/>
        <v>533.33000000000004</v>
      </c>
      <c r="G282" s="5">
        <f>+'BIENIOS EDUARDO FREI M.'!BU282</f>
        <v>0</v>
      </c>
      <c r="H282" s="41">
        <f t="shared" ref="H282" si="398">+F282+G282</f>
        <v>533.33000000000004</v>
      </c>
      <c r="I282" s="6">
        <v>14</v>
      </c>
      <c r="J282" s="79"/>
      <c r="K282" s="7"/>
      <c r="L282" s="55">
        <v>44743</v>
      </c>
      <c r="M282" s="56"/>
      <c r="N282" s="46" t="s">
        <v>302</v>
      </c>
      <c r="Z282" s="3" t="s">
        <v>311</v>
      </c>
      <c r="AA282" s="37">
        <v>0</v>
      </c>
      <c r="AB282" s="34">
        <v>0</v>
      </c>
      <c r="AC282" s="35">
        <v>0</v>
      </c>
      <c r="AD282" s="35">
        <v>96</v>
      </c>
      <c r="AE282" s="35">
        <v>126</v>
      </c>
      <c r="AF282" s="24">
        <v>126</v>
      </c>
      <c r="AG282" s="21">
        <f t="shared" si="394"/>
        <v>0</v>
      </c>
      <c r="AH282" s="42">
        <v>54.6</v>
      </c>
      <c r="AI282" s="42">
        <f>+(0)+(132)+(0)+(108)+(0)+(54)</f>
        <v>294</v>
      </c>
      <c r="AJ282" s="35">
        <v>150</v>
      </c>
      <c r="AK282" s="17">
        <f t="shared" si="395"/>
        <v>198.60000000000002</v>
      </c>
      <c r="AL282" s="42">
        <f t="shared" si="201"/>
        <v>0</v>
      </c>
      <c r="AM282" s="42">
        <f t="shared" si="201"/>
        <v>0</v>
      </c>
      <c r="AN282" s="17">
        <v>150</v>
      </c>
      <c r="AO282" s="21">
        <f t="shared" si="397"/>
        <v>48.600000000000023</v>
      </c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26"/>
      <c r="BC282" s="126"/>
      <c r="BD282" s="126"/>
      <c r="BE282" s="126"/>
      <c r="BF282" s="126"/>
      <c r="BG282" s="126"/>
      <c r="BH282" s="126"/>
      <c r="BI282" s="126"/>
      <c r="BJ282" s="126"/>
      <c r="BK282" s="126"/>
      <c r="BL282" s="126"/>
      <c r="BM282" s="126"/>
      <c r="BN282" s="126"/>
      <c r="BO282" s="126"/>
      <c r="BP282" s="126"/>
      <c r="BQ282" s="126"/>
      <c r="BR282" s="126"/>
      <c r="BS282" s="126"/>
      <c r="BT282" s="126"/>
      <c r="BU282" s="18"/>
    </row>
    <row r="283" spans="2:73" ht="22.2" thickBot="1" x14ac:dyDescent="0.5">
      <c r="B283" s="3" t="s">
        <v>329</v>
      </c>
      <c r="C283" s="4" t="s">
        <v>165</v>
      </c>
      <c r="D283" s="11">
        <v>44256</v>
      </c>
      <c r="E283" s="5">
        <v>0</v>
      </c>
      <c r="F283" s="5">
        <f>+E283*$C$1</f>
        <v>0</v>
      </c>
      <c r="G283" s="5">
        <f>+BU283</f>
        <v>0</v>
      </c>
      <c r="H283" s="41">
        <f>+F283+G283</f>
        <v>0</v>
      </c>
      <c r="I283" s="6">
        <v>15</v>
      </c>
      <c r="J283" s="79"/>
      <c r="K283" s="7"/>
      <c r="L283" s="25">
        <v>44986</v>
      </c>
      <c r="M283" s="7"/>
      <c r="N283" s="46" t="s">
        <v>302</v>
      </c>
      <c r="Z283" s="3" t="s">
        <v>329</v>
      </c>
      <c r="AA283" s="34">
        <v>0</v>
      </c>
      <c r="AB283" s="34">
        <v>0</v>
      </c>
      <c r="AC283" s="35">
        <v>0</v>
      </c>
      <c r="AD283" s="35">
        <v>0</v>
      </c>
      <c r="AE283" s="35">
        <v>0</v>
      </c>
      <c r="AF283" s="24">
        <v>0</v>
      </c>
      <c r="AG283" s="21">
        <f t="shared" ref="AG283:AG289" si="399">+AF283-AE283</f>
        <v>0</v>
      </c>
      <c r="AH283" s="42">
        <v>0</v>
      </c>
      <c r="AI283" s="42">
        <v>0</v>
      </c>
      <c r="AJ283" s="35">
        <v>0</v>
      </c>
      <c r="AK283" s="17">
        <f t="shared" ref="AK283:AK289" si="400">+AG283+(AH283+AI283)-AJ283</f>
        <v>0</v>
      </c>
      <c r="AL283" s="42">
        <f>+(0)+(0)+(0)+(0)+(0)+(0)</f>
        <v>0</v>
      </c>
      <c r="AM283" s="42">
        <f>+(0)+(0)+(0)+(0)+(0)+(0)</f>
        <v>0</v>
      </c>
      <c r="AN283" s="35">
        <v>0</v>
      </c>
      <c r="AO283" s="50">
        <f t="shared" si="397"/>
        <v>0</v>
      </c>
      <c r="AP283" s="42"/>
      <c r="AQ283" s="42"/>
      <c r="AR283" s="35"/>
      <c r="AS283" s="21"/>
      <c r="AT283" s="21"/>
      <c r="AU283" s="21"/>
      <c r="AV283" s="21"/>
      <c r="AW283" s="21"/>
      <c r="AX283" s="21"/>
      <c r="AY283" s="21"/>
      <c r="AZ283" s="21"/>
      <c r="BA283" s="21"/>
      <c r="BB283" s="127"/>
      <c r="BC283" s="127"/>
      <c r="BD283" s="127"/>
      <c r="BE283" s="127"/>
      <c r="BF283" s="127"/>
      <c r="BG283" s="127"/>
      <c r="BH283" s="127"/>
      <c r="BI283" s="127"/>
      <c r="BJ283" s="127"/>
      <c r="BK283" s="127"/>
      <c r="BL283" s="127"/>
      <c r="BM283" s="127"/>
      <c r="BN283" s="127"/>
      <c r="BO283" s="127"/>
      <c r="BP283" s="127"/>
      <c r="BQ283" s="127"/>
      <c r="BR283" s="127"/>
      <c r="BS283" s="127"/>
      <c r="BT283" s="127"/>
      <c r="BU283" s="18"/>
    </row>
    <row r="284" spans="2:73" ht="22.2" thickBot="1" x14ac:dyDescent="0.5">
      <c r="B284" s="3" t="s">
        <v>338</v>
      </c>
      <c r="C284" s="4" t="s">
        <v>165</v>
      </c>
      <c r="D284" s="11">
        <v>44263</v>
      </c>
      <c r="E284" s="5">
        <v>0</v>
      </c>
      <c r="F284" s="5">
        <f>+E284*$C$1</f>
        <v>0</v>
      </c>
      <c r="G284" s="5">
        <f>+BU284</f>
        <v>0</v>
      </c>
      <c r="H284" s="41">
        <f>+F284+G284</f>
        <v>0</v>
      </c>
      <c r="I284" s="6">
        <v>15</v>
      </c>
      <c r="J284" s="79"/>
      <c r="K284" s="7"/>
      <c r="L284" s="25">
        <v>44993</v>
      </c>
      <c r="M284" s="7"/>
      <c r="N284" s="46" t="s">
        <v>302</v>
      </c>
      <c r="Z284" s="3" t="s">
        <v>338</v>
      </c>
      <c r="AA284" s="36">
        <v>0</v>
      </c>
      <c r="AB284" s="34">
        <v>0</v>
      </c>
      <c r="AC284" s="35">
        <v>0</v>
      </c>
      <c r="AD284" s="35">
        <v>0</v>
      </c>
      <c r="AE284" s="35">
        <v>0</v>
      </c>
      <c r="AF284" s="24">
        <v>0</v>
      </c>
      <c r="AG284" s="21">
        <f t="shared" si="399"/>
        <v>0</v>
      </c>
      <c r="AH284" s="42">
        <v>0</v>
      </c>
      <c r="AI284" s="42">
        <v>0</v>
      </c>
      <c r="AJ284" s="35">
        <v>0</v>
      </c>
      <c r="AK284" s="17">
        <f t="shared" si="400"/>
        <v>0</v>
      </c>
      <c r="AL284" s="42">
        <f t="shared" si="201"/>
        <v>0</v>
      </c>
      <c r="AM284" s="42">
        <f t="shared" si="201"/>
        <v>0</v>
      </c>
      <c r="AN284" s="17">
        <v>0</v>
      </c>
      <c r="AO284" s="50">
        <f t="shared" ref="AO284:AO289" si="401">+AK284+AL284+AM284-AN284</f>
        <v>0</v>
      </c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26"/>
      <c r="BC284" s="126"/>
      <c r="BD284" s="126"/>
      <c r="BE284" s="126"/>
      <c r="BF284" s="126"/>
      <c r="BG284" s="126"/>
      <c r="BH284" s="126"/>
      <c r="BI284" s="126"/>
      <c r="BJ284" s="126"/>
      <c r="BK284" s="126"/>
      <c r="BL284" s="126"/>
      <c r="BM284" s="126"/>
      <c r="BN284" s="126"/>
      <c r="BO284" s="126"/>
      <c r="BP284" s="126"/>
      <c r="BQ284" s="126"/>
      <c r="BR284" s="126"/>
      <c r="BS284" s="126"/>
      <c r="BT284" s="126"/>
      <c r="BU284" s="18"/>
    </row>
    <row r="285" spans="2:73" ht="22.2" thickBot="1" x14ac:dyDescent="0.5">
      <c r="B285" s="3" t="s">
        <v>303</v>
      </c>
      <c r="C285" s="4" t="s">
        <v>164</v>
      </c>
      <c r="D285" s="11">
        <v>43983</v>
      </c>
      <c r="E285" s="5">
        <v>0</v>
      </c>
      <c r="F285" s="5">
        <f>+E285*$C$1</f>
        <v>0</v>
      </c>
      <c r="G285" s="5">
        <f>+BU285</f>
        <v>0</v>
      </c>
      <c r="H285" s="41">
        <f>+F285+G285</f>
        <v>0</v>
      </c>
      <c r="I285" s="6">
        <v>15</v>
      </c>
      <c r="J285" s="79"/>
      <c r="K285" s="7"/>
      <c r="L285" s="25">
        <v>44713</v>
      </c>
      <c r="M285" s="7"/>
      <c r="N285" s="46" t="s">
        <v>302</v>
      </c>
      <c r="Z285" s="3" t="s">
        <v>303</v>
      </c>
      <c r="AA285" s="36">
        <v>0</v>
      </c>
      <c r="AB285" s="34">
        <v>0</v>
      </c>
      <c r="AC285" s="35">
        <v>0</v>
      </c>
      <c r="AD285" s="35">
        <v>0</v>
      </c>
      <c r="AE285" s="35">
        <v>0</v>
      </c>
      <c r="AF285" s="24">
        <v>0</v>
      </c>
      <c r="AG285" s="21">
        <f t="shared" si="399"/>
        <v>0</v>
      </c>
      <c r="AH285" s="42">
        <v>0</v>
      </c>
      <c r="AI285" s="42">
        <f>+(0)+(0)+(0)+(0)+(0)+(108)</f>
        <v>108</v>
      </c>
      <c r="AJ285" s="35">
        <v>108</v>
      </c>
      <c r="AK285" s="17">
        <f t="shared" si="400"/>
        <v>0</v>
      </c>
      <c r="AL285" s="42">
        <f t="shared" ref="AL285:AM287" si="402">+(0)+(0)+(0)+(0)+(0)+(0)</f>
        <v>0</v>
      </c>
      <c r="AM285" s="42">
        <f t="shared" si="402"/>
        <v>0</v>
      </c>
      <c r="AN285" s="17">
        <v>0</v>
      </c>
      <c r="AO285" s="57">
        <f t="shared" si="401"/>
        <v>0</v>
      </c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26"/>
      <c r="BC285" s="126"/>
      <c r="BD285" s="126"/>
      <c r="BE285" s="126"/>
      <c r="BF285" s="126"/>
      <c r="BG285" s="126"/>
      <c r="BH285" s="126"/>
      <c r="BI285" s="126"/>
      <c r="BJ285" s="126"/>
      <c r="BK285" s="126"/>
      <c r="BL285" s="126"/>
      <c r="BM285" s="126"/>
      <c r="BN285" s="126"/>
      <c r="BO285" s="126"/>
      <c r="BP285" s="126"/>
      <c r="BQ285" s="126"/>
      <c r="BR285" s="126"/>
      <c r="BS285" s="126"/>
      <c r="BT285" s="126"/>
      <c r="BU285" s="18"/>
    </row>
    <row r="286" spans="2:73" ht="22.2" thickBot="1" x14ac:dyDescent="0.5">
      <c r="B286" s="3" t="s">
        <v>321</v>
      </c>
      <c r="C286" s="4" t="s">
        <v>165</v>
      </c>
      <c r="D286" s="11">
        <v>44204</v>
      </c>
      <c r="E286" s="5">
        <v>0</v>
      </c>
      <c r="F286" s="5">
        <f>+E286*$C$1</f>
        <v>0</v>
      </c>
      <c r="G286" s="5">
        <f>+BU286</f>
        <v>0</v>
      </c>
      <c r="H286" s="41">
        <f>+F286+G286</f>
        <v>0</v>
      </c>
      <c r="I286" s="6">
        <v>15</v>
      </c>
      <c r="J286" s="79"/>
      <c r="K286" s="7"/>
      <c r="L286" s="25">
        <v>44934</v>
      </c>
      <c r="M286" s="7"/>
      <c r="N286" s="46" t="s">
        <v>302</v>
      </c>
      <c r="Z286" s="3" t="s">
        <v>321</v>
      </c>
      <c r="AA286" s="34">
        <v>0</v>
      </c>
      <c r="AB286" s="34">
        <v>0</v>
      </c>
      <c r="AC286" s="35">
        <v>0</v>
      </c>
      <c r="AD286" s="35">
        <v>0</v>
      </c>
      <c r="AE286" s="35">
        <v>0</v>
      </c>
      <c r="AF286" s="24">
        <v>0</v>
      </c>
      <c r="AG286" s="21">
        <f t="shared" si="399"/>
        <v>0</v>
      </c>
      <c r="AH286" s="42">
        <v>0</v>
      </c>
      <c r="AI286" s="42">
        <v>0</v>
      </c>
      <c r="AJ286" s="35">
        <v>0</v>
      </c>
      <c r="AK286" s="17">
        <f t="shared" si="400"/>
        <v>0</v>
      </c>
      <c r="AL286" s="42">
        <f t="shared" si="402"/>
        <v>0</v>
      </c>
      <c r="AM286" s="42">
        <f t="shared" si="402"/>
        <v>0</v>
      </c>
      <c r="AN286" s="17">
        <v>0</v>
      </c>
      <c r="AO286" s="50">
        <f t="shared" si="401"/>
        <v>0</v>
      </c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26"/>
      <c r="BC286" s="126"/>
      <c r="BD286" s="126"/>
      <c r="BE286" s="126"/>
      <c r="BF286" s="126"/>
      <c r="BG286" s="126"/>
      <c r="BH286" s="126"/>
      <c r="BI286" s="126"/>
      <c r="BJ286" s="126"/>
      <c r="BK286" s="126"/>
      <c r="BL286" s="126"/>
      <c r="BM286" s="126"/>
      <c r="BN286" s="126"/>
      <c r="BO286" s="126"/>
      <c r="BP286" s="126"/>
      <c r="BQ286" s="126"/>
      <c r="BR286" s="126"/>
      <c r="BS286" s="126"/>
      <c r="BT286" s="126"/>
      <c r="BU286" s="18"/>
    </row>
    <row r="287" spans="2:73" ht="22.2" thickBot="1" x14ac:dyDescent="0.5">
      <c r="B287" s="3" t="s">
        <v>333</v>
      </c>
      <c r="C287" s="4" t="s">
        <v>165</v>
      </c>
      <c r="D287" s="11">
        <v>44263</v>
      </c>
      <c r="E287" s="5">
        <v>0</v>
      </c>
      <c r="F287" s="5">
        <f t="shared" ref="F287" si="403">+E287*$C$1</f>
        <v>0</v>
      </c>
      <c r="G287" s="5">
        <f t="shared" ref="G287" si="404">+BU287</f>
        <v>0</v>
      </c>
      <c r="H287" s="41">
        <f t="shared" ref="H287" si="405">+F287+G287</f>
        <v>0</v>
      </c>
      <c r="I287" s="6">
        <v>15</v>
      </c>
      <c r="J287" s="79"/>
      <c r="K287" s="7"/>
      <c r="L287" s="25">
        <v>44993</v>
      </c>
      <c r="M287" s="7"/>
      <c r="N287" s="46" t="s">
        <v>302</v>
      </c>
      <c r="Z287" s="3" t="s">
        <v>333</v>
      </c>
      <c r="AA287" s="36">
        <v>0</v>
      </c>
      <c r="AB287" s="34">
        <v>0</v>
      </c>
      <c r="AC287" s="35">
        <v>0</v>
      </c>
      <c r="AD287" s="35">
        <v>0</v>
      </c>
      <c r="AE287" s="35">
        <v>0</v>
      </c>
      <c r="AF287" s="24">
        <v>0</v>
      </c>
      <c r="AG287" s="21">
        <f t="shared" si="399"/>
        <v>0</v>
      </c>
      <c r="AH287" s="42">
        <v>0</v>
      </c>
      <c r="AI287" s="42">
        <v>0</v>
      </c>
      <c r="AJ287" s="35">
        <v>0</v>
      </c>
      <c r="AK287" s="17">
        <f t="shared" si="400"/>
        <v>0</v>
      </c>
      <c r="AL287" s="42">
        <f t="shared" si="402"/>
        <v>0</v>
      </c>
      <c r="AM287" s="42">
        <f t="shared" si="402"/>
        <v>0</v>
      </c>
      <c r="AN287" s="17">
        <v>0</v>
      </c>
      <c r="AO287" s="50">
        <f t="shared" si="401"/>
        <v>0</v>
      </c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26"/>
      <c r="BC287" s="126"/>
      <c r="BD287" s="126"/>
      <c r="BE287" s="126"/>
      <c r="BF287" s="126"/>
      <c r="BG287" s="126"/>
      <c r="BH287" s="126"/>
      <c r="BI287" s="126"/>
      <c r="BJ287" s="126"/>
      <c r="BK287" s="126"/>
      <c r="BL287" s="126"/>
      <c r="BM287" s="126"/>
      <c r="BN287" s="126"/>
      <c r="BO287" s="126"/>
      <c r="BP287" s="126"/>
      <c r="BQ287" s="126"/>
      <c r="BR287" s="126"/>
      <c r="BS287" s="126"/>
      <c r="BT287" s="126"/>
      <c r="BU287" s="18"/>
    </row>
    <row r="288" spans="2:73" ht="22.2" thickBot="1" x14ac:dyDescent="0.5">
      <c r="B288" s="3" t="s">
        <v>323</v>
      </c>
      <c r="C288" s="4" t="s">
        <v>166</v>
      </c>
      <c r="D288" s="11">
        <v>44197</v>
      </c>
      <c r="E288" s="5">
        <v>0</v>
      </c>
      <c r="F288" s="5">
        <f>+E288*$C$1</f>
        <v>0</v>
      </c>
      <c r="G288" s="5">
        <f>+BU288</f>
        <v>0</v>
      </c>
      <c r="H288" s="41">
        <f>+F288+G288</f>
        <v>0</v>
      </c>
      <c r="I288" s="6">
        <v>15</v>
      </c>
      <c r="J288" s="79"/>
      <c r="K288" s="7"/>
      <c r="L288" s="25">
        <v>44927</v>
      </c>
      <c r="M288" s="7"/>
      <c r="N288" s="46" t="s">
        <v>302</v>
      </c>
      <c r="Z288" s="3" t="s">
        <v>323</v>
      </c>
      <c r="AA288" s="34">
        <v>0</v>
      </c>
      <c r="AB288" s="34">
        <v>0</v>
      </c>
      <c r="AC288" s="35">
        <v>0</v>
      </c>
      <c r="AD288" s="35">
        <v>0</v>
      </c>
      <c r="AE288" s="35">
        <v>0</v>
      </c>
      <c r="AF288" s="24">
        <v>0</v>
      </c>
      <c r="AG288" s="21">
        <f t="shared" si="399"/>
        <v>0</v>
      </c>
      <c r="AH288" s="42">
        <v>0</v>
      </c>
      <c r="AI288" s="42">
        <v>0</v>
      </c>
      <c r="AJ288" s="35">
        <v>0</v>
      </c>
      <c r="AK288" s="17">
        <f t="shared" si="400"/>
        <v>0</v>
      </c>
      <c r="AL288" s="42">
        <f t="shared" si="201"/>
        <v>0</v>
      </c>
      <c r="AM288" s="42">
        <f t="shared" si="201"/>
        <v>0</v>
      </c>
      <c r="AN288" s="17">
        <v>0</v>
      </c>
      <c r="AO288" s="58">
        <f t="shared" si="401"/>
        <v>0</v>
      </c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26"/>
      <c r="BC288" s="126"/>
      <c r="BD288" s="126"/>
      <c r="BE288" s="126"/>
      <c r="BF288" s="126"/>
      <c r="BG288" s="126"/>
      <c r="BH288" s="126"/>
      <c r="BI288" s="126"/>
      <c r="BJ288" s="126"/>
      <c r="BK288" s="126"/>
      <c r="BL288" s="126"/>
      <c r="BM288" s="126"/>
      <c r="BN288" s="126"/>
      <c r="BO288" s="126"/>
      <c r="BP288" s="126"/>
      <c r="BQ288" s="126"/>
      <c r="BR288" s="126"/>
      <c r="BS288" s="126"/>
      <c r="BT288" s="126"/>
      <c r="BU288" s="18"/>
    </row>
    <row r="289" spans="2:73" ht="22.2" thickBot="1" x14ac:dyDescent="0.5">
      <c r="B289" s="3" t="s">
        <v>60</v>
      </c>
      <c r="C289" s="4" t="s">
        <v>165</v>
      </c>
      <c r="D289" s="3" t="s">
        <v>111</v>
      </c>
      <c r="E289" s="5">
        <v>4</v>
      </c>
      <c r="F289" s="5">
        <f>+E289*$C$1</f>
        <v>2133.3200000000002</v>
      </c>
      <c r="G289" s="5">
        <f>+BU289</f>
        <v>0</v>
      </c>
      <c r="H289" s="41">
        <f>+F289+G289</f>
        <v>2133.3200000000002</v>
      </c>
      <c r="I289" s="6">
        <v>11</v>
      </c>
      <c r="J289" s="79"/>
      <c r="K289" s="7"/>
      <c r="L289" s="25">
        <v>44701</v>
      </c>
      <c r="M289" s="7"/>
      <c r="N289" s="46" t="s">
        <v>302</v>
      </c>
      <c r="Z289" s="3" t="s">
        <v>60</v>
      </c>
      <c r="AA289" s="34">
        <v>620</v>
      </c>
      <c r="AB289" s="34">
        <v>150</v>
      </c>
      <c r="AC289" s="35">
        <v>150</v>
      </c>
      <c r="AD289" s="35">
        <v>150</v>
      </c>
      <c r="AE289" s="35">
        <v>90</v>
      </c>
      <c r="AF289" s="24">
        <v>90</v>
      </c>
      <c r="AG289" s="21">
        <f t="shared" si="399"/>
        <v>0</v>
      </c>
      <c r="AH289" s="42">
        <f>162+78</f>
        <v>240</v>
      </c>
      <c r="AI289" s="42">
        <f>+(0)+(0)+(0)+(0)+(54)+(54)</f>
        <v>108</v>
      </c>
      <c r="AJ289" s="35">
        <v>150</v>
      </c>
      <c r="AK289" s="17">
        <f t="shared" si="400"/>
        <v>198</v>
      </c>
      <c r="AL289" s="42">
        <f>+(0)+(0)+(37.8)+(0)+(0)+(0)</f>
        <v>37.799999999999997</v>
      </c>
      <c r="AM289" s="42">
        <f t="shared" si="201"/>
        <v>0</v>
      </c>
      <c r="AN289" s="17">
        <v>150</v>
      </c>
      <c r="AO289" s="58">
        <f t="shared" si="401"/>
        <v>85.800000000000011</v>
      </c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26"/>
      <c r="BC289" s="126"/>
      <c r="BD289" s="126"/>
      <c r="BE289" s="126"/>
      <c r="BF289" s="126"/>
      <c r="BG289" s="126"/>
      <c r="BH289" s="126"/>
      <c r="BI289" s="126"/>
      <c r="BJ289" s="126"/>
      <c r="BK289" s="126"/>
      <c r="BL289" s="126"/>
      <c r="BM289" s="126"/>
      <c r="BN289" s="126"/>
      <c r="BO289" s="126"/>
      <c r="BP289" s="126"/>
      <c r="BQ289" s="126"/>
      <c r="BR289" s="126"/>
      <c r="BS289" s="126"/>
      <c r="BT289" s="126"/>
      <c r="BU289" s="18"/>
    </row>
    <row r="290" spans="2:73" ht="22.2" thickBot="1" x14ac:dyDescent="0.5">
      <c r="B290" s="3" t="s">
        <v>340</v>
      </c>
      <c r="C290" s="4" t="s">
        <v>162</v>
      </c>
      <c r="D290" s="10">
        <v>44287</v>
      </c>
      <c r="E290" s="5">
        <v>0</v>
      </c>
      <c r="F290" s="5">
        <f>+E290*$C$1</f>
        <v>0</v>
      </c>
      <c r="G290" s="5">
        <f>+BU290</f>
        <v>0</v>
      </c>
      <c r="H290" s="41">
        <f>+F290+G290</f>
        <v>0</v>
      </c>
      <c r="I290" s="6">
        <v>15</v>
      </c>
      <c r="J290" s="79"/>
      <c r="K290" s="7"/>
      <c r="L290" s="25">
        <v>45017</v>
      </c>
      <c r="M290" s="7"/>
      <c r="N290" s="46" t="s">
        <v>302</v>
      </c>
      <c r="Z290" s="3" t="s">
        <v>340</v>
      </c>
      <c r="AA290" s="34">
        <v>0</v>
      </c>
      <c r="AB290" s="34">
        <v>0</v>
      </c>
      <c r="AC290" s="35">
        <v>0</v>
      </c>
      <c r="AD290" s="35">
        <v>0</v>
      </c>
      <c r="AE290" s="35">
        <v>0</v>
      </c>
      <c r="AF290" s="24">
        <v>0</v>
      </c>
      <c r="AG290" s="21">
        <f t="shared" ref="AG290:AG294" si="406">+AF290-AE290</f>
        <v>0</v>
      </c>
      <c r="AH290" s="42">
        <v>0</v>
      </c>
      <c r="AI290" s="42">
        <v>0</v>
      </c>
      <c r="AJ290" s="35">
        <v>0</v>
      </c>
      <c r="AK290" s="17">
        <f t="shared" ref="AK290:AK294" si="407">+AG290+(AH290+AI290)-AJ290</f>
        <v>0</v>
      </c>
      <c r="AL290" s="42">
        <f>+(0)+(0)+(0)+(0)+(0)+(0)</f>
        <v>0</v>
      </c>
      <c r="AM290" s="42">
        <f>+(0)+(0)+(0)+(0)+(0)+(0)</f>
        <v>0</v>
      </c>
      <c r="AN290" s="35">
        <v>0</v>
      </c>
      <c r="AO290" s="59">
        <f t="shared" ref="AO290:AO294" si="408">+AK290+AL290+AM290-AN290</f>
        <v>0</v>
      </c>
      <c r="AP290" s="42"/>
      <c r="AQ290" s="42"/>
      <c r="AR290" s="35"/>
      <c r="AS290" s="21"/>
      <c r="AT290" s="21"/>
      <c r="AU290" s="21"/>
      <c r="AV290" s="21"/>
      <c r="AW290" s="21"/>
      <c r="AX290" s="21"/>
      <c r="AY290" s="21"/>
      <c r="AZ290" s="21"/>
      <c r="BA290" s="21"/>
      <c r="BB290" s="127"/>
      <c r="BC290" s="127"/>
      <c r="BD290" s="127"/>
      <c r="BE290" s="127"/>
      <c r="BF290" s="127"/>
      <c r="BG290" s="127"/>
      <c r="BH290" s="127"/>
      <c r="BI290" s="127"/>
      <c r="BJ290" s="127"/>
      <c r="BK290" s="127"/>
      <c r="BL290" s="127"/>
      <c r="BM290" s="127"/>
      <c r="BN290" s="127"/>
      <c r="BO290" s="127"/>
      <c r="BP290" s="127"/>
      <c r="BQ290" s="127"/>
      <c r="BR290" s="127"/>
      <c r="BS290" s="127"/>
      <c r="BT290" s="127"/>
      <c r="BU290" s="18"/>
    </row>
    <row r="291" spans="2:73" ht="22.2" thickBot="1" x14ac:dyDescent="0.5">
      <c r="B291" s="3" t="s">
        <v>315</v>
      </c>
      <c r="C291" s="4" t="s">
        <v>164</v>
      </c>
      <c r="D291" s="11">
        <v>44136</v>
      </c>
      <c r="E291" s="5">
        <v>0</v>
      </c>
      <c r="F291" s="5">
        <f t="shared" ref="F291" si="409">+E291*$C$1</f>
        <v>0</v>
      </c>
      <c r="G291" s="5">
        <f t="shared" ref="G291" si="410">+BU291</f>
        <v>0</v>
      </c>
      <c r="H291" s="41">
        <f t="shared" ref="H291" si="411">+F291+G291</f>
        <v>0</v>
      </c>
      <c r="I291" s="6">
        <v>15</v>
      </c>
      <c r="J291" s="79"/>
      <c r="K291" s="7"/>
      <c r="L291" s="25">
        <v>44866</v>
      </c>
      <c r="M291" s="7"/>
      <c r="N291" s="46" t="s">
        <v>302</v>
      </c>
      <c r="Z291" s="3" t="s">
        <v>315</v>
      </c>
      <c r="AA291" s="34">
        <v>0</v>
      </c>
      <c r="AB291" s="34">
        <v>0</v>
      </c>
      <c r="AC291" s="35">
        <v>0</v>
      </c>
      <c r="AD291" s="35">
        <v>0</v>
      </c>
      <c r="AE291" s="35">
        <v>0</v>
      </c>
      <c r="AF291" s="24">
        <v>0</v>
      </c>
      <c r="AG291" s="21">
        <f t="shared" si="406"/>
        <v>0</v>
      </c>
      <c r="AH291" s="42">
        <v>0</v>
      </c>
      <c r="AI291" s="42">
        <f t="shared" si="177"/>
        <v>0</v>
      </c>
      <c r="AJ291" s="35">
        <v>0</v>
      </c>
      <c r="AK291" s="17">
        <f t="shared" si="407"/>
        <v>0</v>
      </c>
      <c r="AL291" s="42">
        <f>+(0)+(0)+(0)+(0)+(0)+(0)</f>
        <v>0</v>
      </c>
      <c r="AM291" s="42">
        <f>+(0)+(0)+(0)+(0)+(0)+(0)</f>
        <v>0</v>
      </c>
      <c r="AN291" s="17">
        <v>0</v>
      </c>
      <c r="AO291" s="58">
        <f t="shared" si="408"/>
        <v>0</v>
      </c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26"/>
      <c r="BC291" s="126"/>
      <c r="BD291" s="126"/>
      <c r="BE291" s="126"/>
      <c r="BF291" s="126"/>
      <c r="BG291" s="126"/>
      <c r="BH291" s="126"/>
      <c r="BI291" s="126"/>
      <c r="BJ291" s="126"/>
      <c r="BK291" s="126"/>
      <c r="BL291" s="126"/>
      <c r="BM291" s="126"/>
      <c r="BN291" s="126"/>
      <c r="BO291" s="126"/>
      <c r="BP291" s="126"/>
      <c r="BQ291" s="126"/>
      <c r="BR291" s="126"/>
      <c r="BS291" s="126"/>
      <c r="BT291" s="126"/>
      <c r="BU291" s="18"/>
    </row>
    <row r="292" spans="2:73" ht="22.2" thickBot="1" x14ac:dyDescent="0.5">
      <c r="B292" s="3" t="s">
        <v>324</v>
      </c>
      <c r="C292" s="4" t="s">
        <v>162</v>
      </c>
      <c r="D292" s="11">
        <v>44197</v>
      </c>
      <c r="E292" s="5">
        <v>0</v>
      </c>
      <c r="F292" s="5">
        <f t="shared" ref="F292:F296" si="412">+E292*$C$1</f>
        <v>0</v>
      </c>
      <c r="G292" s="5">
        <f t="shared" ref="G292:G296" si="413">+BU292</f>
        <v>0</v>
      </c>
      <c r="H292" s="41">
        <f t="shared" ref="H292:H296" si="414">+F292+G292</f>
        <v>0</v>
      </c>
      <c r="I292" s="6">
        <v>15</v>
      </c>
      <c r="J292" s="79"/>
      <c r="K292" s="7"/>
      <c r="L292" s="25">
        <v>44927</v>
      </c>
      <c r="M292" s="7"/>
      <c r="N292" s="46" t="s">
        <v>302</v>
      </c>
      <c r="Z292" s="3" t="s">
        <v>324</v>
      </c>
      <c r="AA292" s="34">
        <v>0</v>
      </c>
      <c r="AB292" s="34">
        <v>0</v>
      </c>
      <c r="AC292" s="35">
        <v>0</v>
      </c>
      <c r="AD292" s="35">
        <v>0</v>
      </c>
      <c r="AE292" s="35">
        <v>0</v>
      </c>
      <c r="AF292" s="24">
        <v>0</v>
      </c>
      <c r="AG292" s="21">
        <f t="shared" si="406"/>
        <v>0</v>
      </c>
      <c r="AH292" s="42">
        <v>0</v>
      </c>
      <c r="AI292" s="42">
        <v>0</v>
      </c>
      <c r="AJ292" s="35">
        <v>0</v>
      </c>
      <c r="AK292" s="17">
        <f t="shared" si="407"/>
        <v>0</v>
      </c>
      <c r="AL292" s="42">
        <f t="shared" si="201"/>
        <v>0</v>
      </c>
      <c r="AM292" s="42">
        <f t="shared" si="201"/>
        <v>0</v>
      </c>
      <c r="AN292" s="17">
        <v>0</v>
      </c>
      <c r="AO292" s="58">
        <f t="shared" si="408"/>
        <v>0</v>
      </c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26"/>
      <c r="BC292" s="126"/>
      <c r="BD292" s="126"/>
      <c r="BE292" s="126"/>
      <c r="BF292" s="126"/>
      <c r="BG292" s="126"/>
      <c r="BH292" s="126"/>
      <c r="BI292" s="126"/>
      <c r="BJ292" s="126"/>
      <c r="BK292" s="126"/>
      <c r="BL292" s="126"/>
      <c r="BM292" s="126"/>
      <c r="BN292" s="126"/>
      <c r="BO292" s="126"/>
      <c r="BP292" s="126"/>
      <c r="BQ292" s="126"/>
      <c r="BR292" s="126"/>
      <c r="BS292" s="126"/>
      <c r="BT292" s="126"/>
      <c r="BU292" s="18"/>
    </row>
    <row r="293" spans="2:73" ht="22.2" thickBot="1" x14ac:dyDescent="0.5">
      <c r="B293" s="3" t="s">
        <v>341</v>
      </c>
      <c r="C293" s="4" t="s">
        <v>162</v>
      </c>
      <c r="D293" s="11">
        <v>44287</v>
      </c>
      <c r="E293" s="5">
        <v>0</v>
      </c>
      <c r="F293" s="5">
        <f t="shared" si="412"/>
        <v>0</v>
      </c>
      <c r="G293" s="5">
        <f t="shared" si="413"/>
        <v>0</v>
      </c>
      <c r="H293" s="41">
        <f t="shared" si="414"/>
        <v>0</v>
      </c>
      <c r="I293" s="6">
        <v>15</v>
      </c>
      <c r="J293" s="79"/>
      <c r="K293" s="7"/>
      <c r="L293" s="25">
        <v>45017</v>
      </c>
      <c r="M293" s="7"/>
      <c r="N293" s="46" t="s">
        <v>302</v>
      </c>
      <c r="Z293" s="3" t="s">
        <v>341</v>
      </c>
      <c r="AA293" s="36">
        <v>0</v>
      </c>
      <c r="AB293" s="34">
        <v>0</v>
      </c>
      <c r="AC293" s="35">
        <v>0</v>
      </c>
      <c r="AD293" s="35">
        <v>0</v>
      </c>
      <c r="AE293" s="35">
        <v>0</v>
      </c>
      <c r="AF293" s="24">
        <v>0</v>
      </c>
      <c r="AG293" s="21">
        <f t="shared" si="406"/>
        <v>0</v>
      </c>
      <c r="AH293" s="42">
        <v>0</v>
      </c>
      <c r="AI293" s="42">
        <v>0</v>
      </c>
      <c r="AJ293" s="35">
        <v>0</v>
      </c>
      <c r="AK293" s="17">
        <f t="shared" si="407"/>
        <v>0</v>
      </c>
      <c r="AL293" s="42">
        <f t="shared" si="201"/>
        <v>0</v>
      </c>
      <c r="AM293" s="42">
        <f>+(0)+(37.8)+(0)+(0)+(0)+(0)</f>
        <v>37.799999999999997</v>
      </c>
      <c r="AN293" s="17">
        <v>37.799999999999997</v>
      </c>
      <c r="AO293" s="58">
        <f t="shared" si="408"/>
        <v>0</v>
      </c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26"/>
      <c r="BC293" s="126"/>
      <c r="BD293" s="126"/>
      <c r="BE293" s="126"/>
      <c r="BF293" s="126"/>
      <c r="BG293" s="126"/>
      <c r="BH293" s="126"/>
      <c r="BI293" s="126"/>
      <c r="BJ293" s="126"/>
      <c r="BK293" s="126"/>
      <c r="BL293" s="126"/>
      <c r="BM293" s="126"/>
      <c r="BN293" s="126"/>
      <c r="BO293" s="126"/>
      <c r="BP293" s="126"/>
      <c r="BQ293" s="126"/>
      <c r="BR293" s="126"/>
      <c r="BS293" s="126"/>
      <c r="BT293" s="126"/>
      <c r="BU293" s="18"/>
    </row>
    <row r="294" spans="2:73" ht="22.2" thickBot="1" x14ac:dyDescent="0.5">
      <c r="B294" s="3" t="s">
        <v>317</v>
      </c>
      <c r="C294" s="4" t="s">
        <v>166</v>
      </c>
      <c r="D294" s="11">
        <v>44136</v>
      </c>
      <c r="E294" s="5">
        <v>0</v>
      </c>
      <c r="F294" s="5">
        <f t="shared" si="412"/>
        <v>0</v>
      </c>
      <c r="G294" s="5">
        <f t="shared" si="413"/>
        <v>0</v>
      </c>
      <c r="H294" s="41">
        <f t="shared" si="414"/>
        <v>0</v>
      </c>
      <c r="I294" s="6">
        <v>15</v>
      </c>
      <c r="J294" s="79"/>
      <c r="K294" s="7"/>
      <c r="L294" s="25">
        <v>44866</v>
      </c>
      <c r="M294" s="7"/>
      <c r="N294" s="46" t="s">
        <v>302</v>
      </c>
      <c r="Z294" s="3" t="s">
        <v>317</v>
      </c>
      <c r="AA294" s="34">
        <v>0</v>
      </c>
      <c r="AB294" s="34">
        <v>0</v>
      </c>
      <c r="AC294" s="35">
        <v>0</v>
      </c>
      <c r="AD294" s="35">
        <v>0</v>
      </c>
      <c r="AE294" s="35">
        <v>0</v>
      </c>
      <c r="AF294" s="24">
        <v>0</v>
      </c>
      <c r="AG294" s="21">
        <f t="shared" si="406"/>
        <v>0</v>
      </c>
      <c r="AH294" s="42">
        <v>0</v>
      </c>
      <c r="AI294" s="42">
        <f>+(0)+(0)+(0)+(0)+(0)+(108)</f>
        <v>108</v>
      </c>
      <c r="AJ294" s="35">
        <v>108</v>
      </c>
      <c r="AK294" s="17">
        <f t="shared" si="407"/>
        <v>0</v>
      </c>
      <c r="AL294" s="42">
        <f>+(0)+(0)+(0)+(0)+(120)+(0)</f>
        <v>120</v>
      </c>
      <c r="AM294" s="42">
        <f t="shared" si="201"/>
        <v>0</v>
      </c>
      <c r="AN294" s="17">
        <v>120</v>
      </c>
      <c r="AO294" s="59">
        <f t="shared" si="408"/>
        <v>0</v>
      </c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26"/>
      <c r="BC294" s="126"/>
      <c r="BD294" s="126"/>
      <c r="BE294" s="126"/>
      <c r="BF294" s="126"/>
      <c r="BG294" s="126"/>
      <c r="BH294" s="126"/>
      <c r="BI294" s="126"/>
      <c r="BJ294" s="126"/>
      <c r="BK294" s="126"/>
      <c r="BL294" s="126"/>
      <c r="BM294" s="126"/>
      <c r="BN294" s="126"/>
      <c r="BO294" s="126"/>
      <c r="BP294" s="126"/>
      <c r="BQ294" s="126"/>
      <c r="BR294" s="126"/>
      <c r="BS294" s="126"/>
      <c r="BT294" s="126"/>
      <c r="BU294" s="18"/>
    </row>
    <row r="295" spans="2:73" ht="22.2" thickBot="1" x14ac:dyDescent="0.5">
      <c r="B295" s="3" t="s">
        <v>326</v>
      </c>
      <c r="C295" s="4" t="s">
        <v>165</v>
      </c>
      <c r="D295" s="11">
        <v>44228</v>
      </c>
      <c r="E295" s="5">
        <v>0</v>
      </c>
      <c r="F295" s="5">
        <f t="shared" si="412"/>
        <v>0</v>
      </c>
      <c r="G295" s="5">
        <f t="shared" si="413"/>
        <v>0</v>
      </c>
      <c r="H295" s="41">
        <f t="shared" si="414"/>
        <v>0</v>
      </c>
      <c r="I295" s="6">
        <v>15</v>
      </c>
      <c r="J295" s="79"/>
      <c r="K295" s="7"/>
      <c r="L295" s="25">
        <v>44958</v>
      </c>
      <c r="M295" s="7"/>
      <c r="N295" s="46" t="s">
        <v>302</v>
      </c>
      <c r="Z295" s="3" t="s">
        <v>326</v>
      </c>
      <c r="AA295" s="36">
        <v>0</v>
      </c>
      <c r="AB295" s="34">
        <v>0</v>
      </c>
      <c r="AC295" s="35">
        <v>0</v>
      </c>
      <c r="AD295" s="35">
        <v>0</v>
      </c>
      <c r="AE295" s="35">
        <v>0</v>
      </c>
      <c r="AF295" s="24">
        <v>0</v>
      </c>
      <c r="AG295" s="21">
        <f t="shared" ref="AG295:AG299" si="415">+AF295-AE295</f>
        <v>0</v>
      </c>
      <c r="AH295" s="42">
        <v>0</v>
      </c>
      <c r="AI295" s="42">
        <v>0</v>
      </c>
      <c r="AJ295" s="35">
        <v>0</v>
      </c>
      <c r="AK295" s="17">
        <f t="shared" ref="AK295:AK299" si="416">+AG295+(AH295+AI295)-AJ295</f>
        <v>0</v>
      </c>
      <c r="AL295" s="42">
        <f t="shared" si="201"/>
        <v>0</v>
      </c>
      <c r="AM295" s="42">
        <f t="shared" si="201"/>
        <v>0</v>
      </c>
      <c r="AN295" s="35">
        <v>0</v>
      </c>
      <c r="AO295" s="61">
        <f t="shared" ref="AO295:AO299" si="417">+AK295+AL295+AM295-AN295</f>
        <v>0</v>
      </c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26"/>
      <c r="BC295" s="126"/>
      <c r="BD295" s="126"/>
      <c r="BE295" s="126"/>
      <c r="BF295" s="126"/>
      <c r="BG295" s="126"/>
      <c r="BH295" s="126"/>
      <c r="BI295" s="126"/>
      <c r="BJ295" s="126"/>
      <c r="BK295" s="126"/>
      <c r="BL295" s="126"/>
      <c r="BM295" s="126"/>
      <c r="BN295" s="126"/>
      <c r="BO295" s="126"/>
      <c r="BP295" s="126"/>
      <c r="BQ295" s="126"/>
      <c r="BR295" s="126"/>
      <c r="BS295" s="126"/>
      <c r="BT295" s="126"/>
      <c r="BU295" s="18"/>
    </row>
    <row r="296" spans="2:73" ht="22.2" thickBot="1" x14ac:dyDescent="0.5">
      <c r="B296" s="3" t="s">
        <v>295</v>
      </c>
      <c r="C296" s="4" t="s">
        <v>165</v>
      </c>
      <c r="D296" s="11">
        <v>43710</v>
      </c>
      <c r="E296" s="5">
        <v>1</v>
      </c>
      <c r="F296" s="5">
        <f t="shared" si="412"/>
        <v>533.33000000000004</v>
      </c>
      <c r="G296" s="5">
        <f t="shared" si="413"/>
        <v>0</v>
      </c>
      <c r="H296" s="41">
        <f t="shared" si="414"/>
        <v>533.33000000000004</v>
      </c>
      <c r="I296" s="6">
        <v>15</v>
      </c>
      <c r="J296" s="79"/>
      <c r="K296" s="62"/>
      <c r="L296" s="25">
        <v>45171</v>
      </c>
      <c r="M296" s="7"/>
      <c r="N296" s="46" t="s">
        <v>302</v>
      </c>
      <c r="O296" s="1"/>
      <c r="P296" s="1"/>
      <c r="Q296" s="1"/>
      <c r="R296" s="1"/>
      <c r="S296" s="1"/>
      <c r="T296" s="1"/>
      <c r="U296" s="1"/>
      <c r="V296" s="1"/>
      <c r="W296" s="1"/>
      <c r="Z296" s="3" t="s">
        <v>293</v>
      </c>
      <c r="AA296" s="36">
        <v>0</v>
      </c>
      <c r="AB296" s="34">
        <v>0</v>
      </c>
      <c r="AC296" s="35">
        <v>0</v>
      </c>
      <c r="AD296" s="35">
        <v>0</v>
      </c>
      <c r="AE296" s="35">
        <v>0</v>
      </c>
      <c r="AF296" s="24">
        <v>0</v>
      </c>
      <c r="AG296" s="21">
        <f t="shared" si="415"/>
        <v>0</v>
      </c>
      <c r="AH296" s="42">
        <v>0</v>
      </c>
      <c r="AI296" s="42">
        <f t="shared" si="396"/>
        <v>0</v>
      </c>
      <c r="AJ296" s="35">
        <v>0</v>
      </c>
      <c r="AK296" s="17">
        <f t="shared" si="416"/>
        <v>0</v>
      </c>
      <c r="AL296" s="42">
        <f t="shared" si="201"/>
        <v>0</v>
      </c>
      <c r="AM296" s="42">
        <f t="shared" si="201"/>
        <v>0</v>
      </c>
      <c r="AN296" s="35">
        <v>0</v>
      </c>
      <c r="AO296" s="60">
        <f t="shared" si="417"/>
        <v>0</v>
      </c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26"/>
      <c r="BC296" s="126"/>
      <c r="BD296" s="126"/>
      <c r="BE296" s="126"/>
      <c r="BF296" s="126"/>
      <c r="BG296" s="126"/>
      <c r="BH296" s="126"/>
      <c r="BI296" s="126"/>
      <c r="BJ296" s="126"/>
      <c r="BK296" s="126"/>
      <c r="BL296" s="126"/>
      <c r="BM296" s="126"/>
      <c r="BN296" s="126"/>
      <c r="BO296" s="126"/>
      <c r="BP296" s="126"/>
      <c r="BQ296" s="126"/>
      <c r="BR296" s="126"/>
      <c r="BS296" s="126"/>
      <c r="BT296" s="126"/>
      <c r="BU296" s="18"/>
    </row>
    <row r="297" spans="2:73" ht="22.2" thickBot="1" x14ac:dyDescent="0.5">
      <c r="B297" s="3" t="s">
        <v>348</v>
      </c>
      <c r="C297" s="4" t="s">
        <v>165</v>
      </c>
      <c r="D297" s="11">
        <v>44438</v>
      </c>
      <c r="E297" s="5">
        <v>0</v>
      </c>
      <c r="F297" s="5">
        <f t="shared" ref="F297:F301" si="418">+E297*$C$1</f>
        <v>0</v>
      </c>
      <c r="G297" s="5">
        <f>+BU297</f>
        <v>0</v>
      </c>
      <c r="H297" s="41">
        <f>+F297+G297</f>
        <v>0</v>
      </c>
      <c r="I297" s="6">
        <v>15</v>
      </c>
      <c r="J297" s="79"/>
      <c r="K297" s="7"/>
      <c r="L297" s="25">
        <v>45168</v>
      </c>
      <c r="M297" s="7"/>
      <c r="N297" s="46" t="s">
        <v>302</v>
      </c>
      <c r="Z297" s="3" t="s">
        <v>348</v>
      </c>
      <c r="AA297" s="34">
        <v>0</v>
      </c>
      <c r="AB297" s="34">
        <v>0</v>
      </c>
      <c r="AC297" s="35">
        <v>0</v>
      </c>
      <c r="AD297" s="35">
        <v>0</v>
      </c>
      <c r="AE297" s="35">
        <v>0</v>
      </c>
      <c r="AF297" s="24">
        <v>0</v>
      </c>
      <c r="AG297" s="21">
        <f t="shared" si="415"/>
        <v>0</v>
      </c>
      <c r="AH297" s="42">
        <v>0</v>
      </c>
      <c r="AI297" s="42">
        <v>0</v>
      </c>
      <c r="AJ297" s="35">
        <v>0</v>
      </c>
      <c r="AK297" s="17">
        <f t="shared" si="416"/>
        <v>0</v>
      </c>
      <c r="AL297" s="42">
        <f>+(0)+(0)+(0)+(0)+(0)+(0)</f>
        <v>0</v>
      </c>
      <c r="AM297" s="42">
        <f>+(0)+(0)+(0)+(0)+(0)+(0)</f>
        <v>0</v>
      </c>
      <c r="AN297" s="35">
        <v>0</v>
      </c>
      <c r="AO297" s="60">
        <f t="shared" si="417"/>
        <v>0</v>
      </c>
      <c r="AP297" s="42"/>
      <c r="AQ297" s="42"/>
      <c r="AR297" s="35"/>
      <c r="AS297" s="21"/>
      <c r="AT297" s="21"/>
      <c r="AU297" s="21"/>
      <c r="AV297" s="21"/>
      <c r="AW297" s="21"/>
      <c r="AX297" s="21"/>
      <c r="AY297" s="21"/>
      <c r="AZ297" s="21"/>
      <c r="BA297" s="21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  <c r="BM297" s="127"/>
      <c r="BN297" s="127"/>
      <c r="BO297" s="127"/>
      <c r="BP297" s="127"/>
      <c r="BQ297" s="127"/>
      <c r="BR297" s="127"/>
      <c r="BS297" s="127"/>
      <c r="BT297" s="127"/>
      <c r="BU297" s="18"/>
    </row>
    <row r="298" spans="2:73" ht="22.2" thickBot="1" x14ac:dyDescent="0.5">
      <c r="B298" s="3" t="s">
        <v>336</v>
      </c>
      <c r="C298" s="4" t="s">
        <v>165</v>
      </c>
      <c r="D298" s="10">
        <v>44256</v>
      </c>
      <c r="E298" s="5">
        <v>0</v>
      </c>
      <c r="F298" s="5">
        <f t="shared" si="418"/>
        <v>0</v>
      </c>
      <c r="G298" s="5">
        <f t="shared" ref="G298" si="419">+BU298</f>
        <v>0</v>
      </c>
      <c r="H298" s="41">
        <f t="shared" ref="H298" si="420">+F298+G298</f>
        <v>0</v>
      </c>
      <c r="I298" s="6">
        <v>15</v>
      </c>
      <c r="J298" s="79"/>
      <c r="K298" s="7"/>
      <c r="L298" s="25">
        <v>44986</v>
      </c>
      <c r="M298" s="7"/>
      <c r="N298" s="46" t="s">
        <v>302</v>
      </c>
      <c r="Z298" s="3" t="s">
        <v>336</v>
      </c>
      <c r="AA298" s="34">
        <v>0</v>
      </c>
      <c r="AB298" s="34">
        <v>0</v>
      </c>
      <c r="AC298" s="35">
        <v>0</v>
      </c>
      <c r="AD298" s="35">
        <v>0</v>
      </c>
      <c r="AE298" s="35">
        <v>0</v>
      </c>
      <c r="AF298" s="24">
        <v>0</v>
      </c>
      <c r="AG298" s="21">
        <f t="shared" si="415"/>
        <v>0</v>
      </c>
      <c r="AH298" s="42">
        <v>0</v>
      </c>
      <c r="AI298" s="42">
        <v>0</v>
      </c>
      <c r="AJ298" s="35">
        <v>0</v>
      </c>
      <c r="AK298" s="17">
        <f t="shared" si="416"/>
        <v>0</v>
      </c>
      <c r="AL298" s="42">
        <f t="shared" si="201"/>
        <v>0</v>
      </c>
      <c r="AM298" s="42">
        <f t="shared" si="201"/>
        <v>0</v>
      </c>
      <c r="AN298" s="35">
        <v>0</v>
      </c>
      <c r="AO298" s="50">
        <f t="shared" si="417"/>
        <v>0</v>
      </c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26"/>
      <c r="BC298" s="126"/>
      <c r="BD298" s="126"/>
      <c r="BE298" s="126"/>
      <c r="BF298" s="126"/>
      <c r="BG298" s="126"/>
      <c r="BH298" s="126"/>
      <c r="BI298" s="126"/>
      <c r="BJ298" s="126"/>
      <c r="BK298" s="126"/>
      <c r="BL298" s="126"/>
      <c r="BM298" s="126"/>
      <c r="BN298" s="126"/>
      <c r="BO298" s="126"/>
      <c r="BP298" s="126"/>
      <c r="BQ298" s="126"/>
      <c r="BR298" s="126"/>
      <c r="BS298" s="126"/>
      <c r="BT298" s="126"/>
      <c r="BU298" s="18"/>
    </row>
    <row r="299" spans="2:73" ht="22.8" thickBot="1" x14ac:dyDescent="0.55000000000000004">
      <c r="B299" s="3" t="s">
        <v>313</v>
      </c>
      <c r="C299" s="4" t="s">
        <v>168</v>
      </c>
      <c r="D299" s="11">
        <v>44075</v>
      </c>
      <c r="E299" s="5">
        <v>0</v>
      </c>
      <c r="F299" s="5">
        <f t="shared" si="418"/>
        <v>0</v>
      </c>
      <c r="G299" s="5">
        <f>+BU299</f>
        <v>78</v>
      </c>
      <c r="H299" s="41">
        <f>+F299+G299</f>
        <v>78</v>
      </c>
      <c r="I299" s="6">
        <v>15</v>
      </c>
      <c r="J299" s="79"/>
      <c r="K299" s="7"/>
      <c r="L299" s="25">
        <v>44805</v>
      </c>
      <c r="M299" s="7"/>
      <c r="N299" s="46" t="s">
        <v>302</v>
      </c>
      <c r="Z299" s="3" t="s">
        <v>313</v>
      </c>
      <c r="AA299" s="34">
        <v>0</v>
      </c>
      <c r="AB299" s="34">
        <v>0</v>
      </c>
      <c r="AC299" s="35">
        <v>0</v>
      </c>
      <c r="AD299" s="35">
        <v>0</v>
      </c>
      <c r="AE299" s="35">
        <v>0</v>
      </c>
      <c r="AF299" s="24">
        <v>0</v>
      </c>
      <c r="AG299" s="21">
        <f t="shared" si="415"/>
        <v>0</v>
      </c>
      <c r="AH299" s="42">
        <v>0</v>
      </c>
      <c r="AI299" s="42">
        <f t="shared" ref="AI299" si="421">+(0)+(0)+(0)+(0)+(0)+(0)</f>
        <v>0</v>
      </c>
      <c r="AJ299" s="35">
        <v>0</v>
      </c>
      <c r="AK299" s="17">
        <f t="shared" si="416"/>
        <v>0</v>
      </c>
      <c r="AL299" s="42">
        <f>+(0)+(0)+(0)+(0)+(0)+(0)</f>
        <v>0</v>
      </c>
      <c r="AM299" s="42">
        <f>+(0)+(78)+(0)+(0)+(0)+(0)</f>
        <v>78</v>
      </c>
      <c r="AN299" s="35">
        <v>78</v>
      </c>
      <c r="AO299" s="24">
        <f t="shared" si="417"/>
        <v>0</v>
      </c>
      <c r="AP299" s="42">
        <f t="shared" ref="AP299:AQ303" si="422">+(0)+(0)+(0)+(0)+(0)+(0)</f>
        <v>0</v>
      </c>
      <c r="AQ299" s="42">
        <f t="shared" si="422"/>
        <v>0</v>
      </c>
      <c r="AR299" s="68">
        <v>0</v>
      </c>
      <c r="AS299" s="71">
        <f t="shared" ref="AS299:AS304" si="423">+AO299+AP299+AQ299-AR299</f>
        <v>0</v>
      </c>
      <c r="AT299" s="42">
        <f t="shared" ref="AT299:AU303" si="424">+(0)+(0)+(0)+(0)+(0)+(0)</f>
        <v>0</v>
      </c>
      <c r="AU299" s="42">
        <f t="shared" si="424"/>
        <v>0</v>
      </c>
      <c r="AV299" s="68"/>
      <c r="AW299" s="69">
        <f t="shared" ref="AW299:AW304" si="425">+AS299+AT299+AU299-AV299</f>
        <v>0</v>
      </c>
      <c r="AX299" s="69"/>
      <c r="AY299" s="69"/>
      <c r="AZ299" s="69"/>
      <c r="BA299" s="69"/>
      <c r="BB299" s="128"/>
      <c r="BC299" s="128"/>
      <c r="BD299" s="128"/>
      <c r="BE299" s="128"/>
      <c r="BF299" s="128"/>
      <c r="BG299" s="128"/>
      <c r="BH299" s="128"/>
      <c r="BI299" s="128"/>
      <c r="BJ299" s="128"/>
      <c r="BK299" s="128"/>
      <c r="BL299" s="128"/>
      <c r="BM299" s="128"/>
      <c r="BN299" s="128"/>
      <c r="BO299" s="128"/>
      <c r="BP299" s="128"/>
      <c r="BQ299" s="128"/>
      <c r="BR299" s="128"/>
      <c r="BS299" s="128"/>
      <c r="BT299" s="128"/>
      <c r="BU299" s="18">
        <f t="shared" ref="BU299:BU316" si="426">SUM(AA299:AD299)+AE299+AJ299+AN299+AR299</f>
        <v>78</v>
      </c>
    </row>
    <row r="300" spans="2:73" ht="22.8" thickBot="1" x14ac:dyDescent="0.55000000000000004">
      <c r="B300" s="3" t="s">
        <v>229</v>
      </c>
      <c r="C300" s="4" t="s">
        <v>166</v>
      </c>
      <c r="D300" s="11">
        <v>43101</v>
      </c>
      <c r="E300" s="5">
        <v>2</v>
      </c>
      <c r="F300" s="5">
        <f t="shared" si="418"/>
        <v>1066.6600000000001</v>
      </c>
      <c r="G300" s="5">
        <f>+BU300</f>
        <v>792</v>
      </c>
      <c r="H300" s="41">
        <f>+F300+G300</f>
        <v>1858.66</v>
      </c>
      <c r="I300" s="6">
        <v>13</v>
      </c>
      <c r="J300" s="79"/>
      <c r="K300" s="7"/>
      <c r="L300" s="25">
        <v>45292</v>
      </c>
      <c r="M300" s="7"/>
      <c r="N300" s="46" t="s">
        <v>302</v>
      </c>
      <c r="Z300" s="3" t="s">
        <v>229</v>
      </c>
      <c r="AA300" s="34">
        <v>84</v>
      </c>
      <c r="AB300" s="34">
        <v>0</v>
      </c>
      <c r="AC300" s="35">
        <v>0</v>
      </c>
      <c r="AD300" s="35">
        <v>108</v>
      </c>
      <c r="AE300" s="35">
        <v>150</v>
      </c>
      <c r="AF300" s="24">
        <v>156</v>
      </c>
      <c r="AG300" s="21">
        <f>+AF300-AE300</f>
        <v>6</v>
      </c>
      <c r="AH300" s="42">
        <f>78+108+54</f>
        <v>240</v>
      </c>
      <c r="AI300" s="42">
        <f>+(0)+(0)+(0)+(0)+(0)+(162)</f>
        <v>162</v>
      </c>
      <c r="AJ300" s="35">
        <v>150</v>
      </c>
      <c r="AK300" s="17">
        <f>+AG300+(AH300+AI300)-AJ300</f>
        <v>258</v>
      </c>
      <c r="AL300" s="42">
        <f>+(0)+(0)+(0)+(0)+(0)+(0)</f>
        <v>0</v>
      </c>
      <c r="AM300" s="42">
        <f>+(0)+(216)+(0)+(0)+(0)+(0)</f>
        <v>216</v>
      </c>
      <c r="AN300" s="35">
        <v>150</v>
      </c>
      <c r="AO300" s="24">
        <f>+AK300+AL300+AM300-AN300</f>
        <v>324</v>
      </c>
      <c r="AP300" s="42">
        <f t="shared" si="422"/>
        <v>0</v>
      </c>
      <c r="AQ300" s="42">
        <f t="shared" si="422"/>
        <v>0</v>
      </c>
      <c r="AR300" s="68">
        <v>150</v>
      </c>
      <c r="AS300" s="72">
        <f t="shared" si="423"/>
        <v>174</v>
      </c>
      <c r="AT300" s="42">
        <f t="shared" si="424"/>
        <v>0</v>
      </c>
      <c r="AU300" s="42">
        <f t="shared" si="424"/>
        <v>0</v>
      </c>
      <c r="AV300" s="68"/>
      <c r="AW300" s="69">
        <f t="shared" si="425"/>
        <v>174</v>
      </c>
      <c r="AX300" s="69"/>
      <c r="AY300" s="69"/>
      <c r="AZ300" s="69"/>
      <c r="BA300" s="69"/>
      <c r="BB300" s="128"/>
      <c r="BC300" s="128"/>
      <c r="BD300" s="128"/>
      <c r="BE300" s="128"/>
      <c r="BF300" s="128"/>
      <c r="BG300" s="128"/>
      <c r="BH300" s="128"/>
      <c r="BI300" s="128"/>
      <c r="BJ300" s="128"/>
      <c r="BK300" s="128"/>
      <c r="BL300" s="128"/>
      <c r="BM300" s="128"/>
      <c r="BN300" s="128"/>
      <c r="BO300" s="128"/>
      <c r="BP300" s="128"/>
      <c r="BQ300" s="128"/>
      <c r="BR300" s="128"/>
      <c r="BS300" s="128"/>
      <c r="BT300" s="128"/>
      <c r="BU300" s="18">
        <f t="shared" si="426"/>
        <v>792</v>
      </c>
    </row>
    <row r="301" spans="2:73" ht="22.8" thickBot="1" x14ac:dyDescent="0.55000000000000004">
      <c r="B301" s="3" t="s">
        <v>36</v>
      </c>
      <c r="C301" s="4" t="s">
        <v>165</v>
      </c>
      <c r="D301" s="3" t="s">
        <v>120</v>
      </c>
      <c r="E301" s="5">
        <v>7</v>
      </c>
      <c r="F301" s="5">
        <f t="shared" si="418"/>
        <v>3733.3100000000004</v>
      </c>
      <c r="G301" s="5">
        <f>+BU301</f>
        <v>2070</v>
      </c>
      <c r="H301" s="41">
        <f>+F301+G301</f>
        <v>5803.31</v>
      </c>
      <c r="I301" s="6">
        <v>9</v>
      </c>
      <c r="J301" s="79"/>
      <c r="K301" s="7"/>
      <c r="L301" s="25">
        <v>45061</v>
      </c>
      <c r="M301" s="7"/>
      <c r="N301" s="46" t="s">
        <v>302</v>
      </c>
      <c r="Z301" s="3" t="s">
        <v>36</v>
      </c>
      <c r="AA301" s="34">
        <v>1200</v>
      </c>
      <c r="AB301" s="34">
        <v>150</v>
      </c>
      <c r="AC301" s="35">
        <v>96</v>
      </c>
      <c r="AD301" s="35">
        <v>96</v>
      </c>
      <c r="AE301" s="35">
        <v>150</v>
      </c>
      <c r="AF301" s="24">
        <v>210</v>
      </c>
      <c r="AG301" s="21">
        <f>+AF301-AE301</f>
        <v>60</v>
      </c>
      <c r="AH301" s="42">
        <v>0</v>
      </c>
      <c r="AI301" s="42">
        <f>+(0)+(0)+(0)+(0)+(156)+(162)</f>
        <v>318</v>
      </c>
      <c r="AJ301" s="35">
        <v>150</v>
      </c>
      <c r="AK301" s="17">
        <f>+AG301+(AH301+AI301)-AJ301</f>
        <v>228</v>
      </c>
      <c r="AL301" s="42">
        <f>+(0)+(0)+(0)+(0)+(0)+(0)</f>
        <v>0</v>
      </c>
      <c r="AM301" s="42">
        <f>+(0)+(0)+(0)+(0)+(0)+(0)</f>
        <v>0</v>
      </c>
      <c r="AN301" s="35">
        <v>150</v>
      </c>
      <c r="AO301" s="24">
        <f>+AK301+AL301+AM301-AN301</f>
        <v>78</v>
      </c>
      <c r="AP301" s="42">
        <f t="shared" si="422"/>
        <v>0</v>
      </c>
      <c r="AQ301" s="42">
        <f t="shared" si="422"/>
        <v>0</v>
      </c>
      <c r="AR301" s="68">
        <v>78</v>
      </c>
      <c r="AS301" s="72">
        <f t="shared" si="423"/>
        <v>0</v>
      </c>
      <c r="AT301" s="42">
        <f t="shared" si="424"/>
        <v>0</v>
      </c>
      <c r="AU301" s="42">
        <f t="shared" si="424"/>
        <v>0</v>
      </c>
      <c r="AV301" s="68"/>
      <c r="AW301" s="69">
        <f t="shared" si="425"/>
        <v>0</v>
      </c>
      <c r="AX301" s="69"/>
      <c r="AY301" s="69"/>
      <c r="AZ301" s="69"/>
      <c r="BA301" s="69"/>
      <c r="BB301" s="128"/>
      <c r="BC301" s="128"/>
      <c r="BD301" s="128"/>
      <c r="BE301" s="128"/>
      <c r="BF301" s="128"/>
      <c r="BG301" s="128"/>
      <c r="BH301" s="128"/>
      <c r="BI301" s="128"/>
      <c r="BJ301" s="128"/>
      <c r="BK301" s="128"/>
      <c r="BL301" s="128"/>
      <c r="BM301" s="128"/>
      <c r="BN301" s="128"/>
      <c r="BO301" s="128"/>
      <c r="BP301" s="128"/>
      <c r="BQ301" s="128"/>
      <c r="BR301" s="128"/>
      <c r="BS301" s="128"/>
      <c r="BT301" s="128"/>
      <c r="BU301" s="18">
        <f t="shared" si="426"/>
        <v>2070</v>
      </c>
    </row>
    <row r="302" spans="2:73" ht="22.8" thickBot="1" x14ac:dyDescent="0.55000000000000004">
      <c r="B302" s="3" t="s">
        <v>363</v>
      </c>
      <c r="C302" s="4" t="s">
        <v>165</v>
      </c>
      <c r="D302" s="11">
        <v>44662</v>
      </c>
      <c r="E302" s="5">
        <v>0</v>
      </c>
      <c r="F302" s="5">
        <f>+E302*$C$1</f>
        <v>0</v>
      </c>
      <c r="G302" s="5">
        <f t="shared" ref="G302" si="427">+BU302</f>
        <v>0</v>
      </c>
      <c r="H302" s="41">
        <f t="shared" ref="H302" si="428">+F302+G302</f>
        <v>0</v>
      </c>
      <c r="I302" s="73">
        <v>15</v>
      </c>
      <c r="J302" s="80"/>
      <c r="K302" s="7"/>
      <c r="L302" s="25">
        <v>45393</v>
      </c>
      <c r="M302" s="7"/>
      <c r="N302" s="46" t="s">
        <v>302</v>
      </c>
      <c r="Z302" s="3" t="s">
        <v>363</v>
      </c>
      <c r="AA302" s="34">
        <v>0</v>
      </c>
      <c r="AB302" s="34">
        <v>0</v>
      </c>
      <c r="AC302" s="35">
        <v>0</v>
      </c>
      <c r="AD302" s="35">
        <v>0</v>
      </c>
      <c r="AE302" s="35">
        <v>0</v>
      </c>
      <c r="AF302" s="24">
        <v>0</v>
      </c>
      <c r="AG302" s="21">
        <f>+AF302-AE302</f>
        <v>0</v>
      </c>
      <c r="AH302" s="42">
        <v>0</v>
      </c>
      <c r="AI302" s="42">
        <v>0</v>
      </c>
      <c r="AJ302" s="35">
        <v>0</v>
      </c>
      <c r="AK302" s="17">
        <f>+AG302+(AH302+AI302)-AJ302</f>
        <v>0</v>
      </c>
      <c r="AL302" s="42">
        <v>0</v>
      </c>
      <c r="AM302" s="42">
        <v>0</v>
      </c>
      <c r="AN302" s="35">
        <v>0</v>
      </c>
      <c r="AO302" s="64">
        <f>+AK302+AL302+AM302-AN302</f>
        <v>0</v>
      </c>
      <c r="AP302" s="42">
        <f t="shared" si="422"/>
        <v>0</v>
      </c>
      <c r="AQ302" s="42">
        <f t="shared" si="422"/>
        <v>0</v>
      </c>
      <c r="AR302" s="68">
        <v>0</v>
      </c>
      <c r="AS302" s="71">
        <f t="shared" si="423"/>
        <v>0</v>
      </c>
      <c r="AT302" s="60">
        <f t="shared" si="424"/>
        <v>0</v>
      </c>
      <c r="AU302" s="60">
        <f t="shared" si="424"/>
        <v>0</v>
      </c>
      <c r="AV302" s="68"/>
      <c r="AW302" s="69">
        <f t="shared" si="425"/>
        <v>0</v>
      </c>
      <c r="AX302" s="69"/>
      <c r="AY302" s="69"/>
      <c r="AZ302" s="69"/>
      <c r="BA302" s="69"/>
      <c r="BB302" s="128"/>
      <c r="BC302" s="128"/>
      <c r="BD302" s="128"/>
      <c r="BE302" s="128"/>
      <c r="BF302" s="128"/>
      <c r="BG302" s="128"/>
      <c r="BH302" s="128"/>
      <c r="BI302" s="128"/>
      <c r="BJ302" s="128"/>
      <c r="BK302" s="128"/>
      <c r="BL302" s="128"/>
      <c r="BM302" s="128"/>
      <c r="BN302" s="128"/>
      <c r="BO302" s="128"/>
      <c r="BP302" s="128"/>
      <c r="BQ302" s="128"/>
      <c r="BR302" s="128"/>
      <c r="BS302" s="128"/>
      <c r="BT302" s="128"/>
      <c r="BU302" s="18">
        <f t="shared" si="426"/>
        <v>0</v>
      </c>
    </row>
    <row r="303" spans="2:73" ht="22.8" thickBot="1" x14ac:dyDescent="0.55000000000000004">
      <c r="B303" s="3" t="s">
        <v>236</v>
      </c>
      <c r="C303" s="4" t="s">
        <v>165</v>
      </c>
      <c r="D303" s="10">
        <v>43193</v>
      </c>
      <c r="E303" s="5">
        <v>3</v>
      </c>
      <c r="F303" s="5">
        <f>+E303*$C$1</f>
        <v>1599.9900000000002</v>
      </c>
      <c r="G303" s="5">
        <f>+BU303</f>
        <v>696</v>
      </c>
      <c r="H303" s="41">
        <f>+F303+G303</f>
        <v>2295.9900000000002</v>
      </c>
      <c r="I303" s="73">
        <v>13</v>
      </c>
      <c r="J303" s="80"/>
      <c r="K303" s="7"/>
      <c r="L303" s="25">
        <v>45282</v>
      </c>
      <c r="M303" s="7"/>
      <c r="N303" s="46" t="s">
        <v>302</v>
      </c>
      <c r="Z303" s="3" t="s">
        <v>236</v>
      </c>
      <c r="AA303" s="34">
        <v>0</v>
      </c>
      <c r="AB303" s="34">
        <v>0</v>
      </c>
      <c r="AC303" s="35">
        <v>0</v>
      </c>
      <c r="AD303" s="35">
        <v>96</v>
      </c>
      <c r="AE303" s="35">
        <v>150</v>
      </c>
      <c r="AF303" s="24">
        <v>301.8</v>
      </c>
      <c r="AG303" s="21">
        <f>+AF303-AE303</f>
        <v>151.80000000000001</v>
      </c>
      <c r="AH303" s="42">
        <v>0</v>
      </c>
      <c r="AI303" s="42">
        <f>+(0)+(186)+(0)+(0)+(54)+(162)</f>
        <v>402</v>
      </c>
      <c r="AJ303" s="35">
        <v>150</v>
      </c>
      <c r="AK303" s="17">
        <f>+AG303+(AH303+AI303)-AJ303</f>
        <v>403.79999999999995</v>
      </c>
      <c r="AL303" s="42">
        <f>+(0)+(0)+(0)+(0)+(0)+(0)</f>
        <v>0</v>
      </c>
      <c r="AM303" s="42">
        <f>+(0)+(54)+(0)+(0)+(0)+(0)</f>
        <v>54</v>
      </c>
      <c r="AN303" s="35">
        <v>150</v>
      </c>
      <c r="AO303" s="24">
        <f>+AK303+AL303+AM303-AN303</f>
        <v>307.79999999999995</v>
      </c>
      <c r="AP303" s="42">
        <f t="shared" si="422"/>
        <v>0</v>
      </c>
      <c r="AQ303" s="42">
        <f t="shared" si="422"/>
        <v>0</v>
      </c>
      <c r="AR303" s="68">
        <v>150</v>
      </c>
      <c r="AS303" s="71">
        <f t="shared" si="423"/>
        <v>157.79999999999995</v>
      </c>
      <c r="AT303" s="60">
        <f t="shared" si="424"/>
        <v>0</v>
      </c>
      <c r="AU303" s="60">
        <f t="shared" si="424"/>
        <v>0</v>
      </c>
      <c r="AV303" s="68"/>
      <c r="AW303" s="69">
        <f t="shared" si="425"/>
        <v>157.79999999999995</v>
      </c>
      <c r="AX303" s="69"/>
      <c r="AY303" s="69"/>
      <c r="AZ303" s="69"/>
      <c r="BA303" s="69"/>
      <c r="BB303" s="128"/>
      <c r="BC303" s="128"/>
      <c r="BD303" s="128"/>
      <c r="BE303" s="128"/>
      <c r="BF303" s="128"/>
      <c r="BG303" s="128"/>
      <c r="BH303" s="128"/>
      <c r="BI303" s="128"/>
      <c r="BJ303" s="128"/>
      <c r="BK303" s="128"/>
      <c r="BL303" s="128"/>
      <c r="BM303" s="128"/>
      <c r="BN303" s="128"/>
      <c r="BO303" s="128"/>
      <c r="BP303" s="128"/>
      <c r="BQ303" s="128"/>
      <c r="BR303" s="128"/>
      <c r="BS303" s="128"/>
      <c r="BT303" s="128"/>
      <c r="BU303" s="18">
        <f t="shared" si="426"/>
        <v>696</v>
      </c>
    </row>
    <row r="304" spans="2:73" ht="22.8" thickBot="1" x14ac:dyDescent="0.55000000000000004">
      <c r="B304" s="3" t="s">
        <v>248</v>
      </c>
      <c r="C304" s="4" t="s">
        <v>165</v>
      </c>
      <c r="D304" s="11">
        <v>42940</v>
      </c>
      <c r="E304" s="5">
        <v>2</v>
      </c>
      <c r="F304" s="5">
        <f>+E304*$C$1</f>
        <v>1066.6600000000001</v>
      </c>
      <c r="G304" s="5">
        <f>+BU304</f>
        <v>1083.5999999999999</v>
      </c>
      <c r="H304" s="41">
        <f>+F304+G304</f>
        <v>2150.2600000000002</v>
      </c>
      <c r="I304" s="73">
        <v>13</v>
      </c>
      <c r="J304" s="80"/>
      <c r="K304" s="7"/>
      <c r="L304" s="25">
        <v>45131</v>
      </c>
      <c r="M304" s="7"/>
      <c r="N304" s="46" t="s">
        <v>302</v>
      </c>
      <c r="Z304" s="3" t="s">
        <v>248</v>
      </c>
      <c r="AA304" s="34">
        <v>417.6</v>
      </c>
      <c r="AB304" s="34">
        <v>0</v>
      </c>
      <c r="AC304" s="35">
        <v>0</v>
      </c>
      <c r="AD304" s="35">
        <v>96</v>
      </c>
      <c r="AE304" s="35">
        <v>150</v>
      </c>
      <c r="AF304" s="24">
        <v>156</v>
      </c>
      <c r="AG304" s="21">
        <f>+AF304-AE304</f>
        <v>6</v>
      </c>
      <c r="AH304" s="42">
        <v>78</v>
      </c>
      <c r="AI304" s="42">
        <f>+(0)+(120)+(0)+(0)+(54)+(162)</f>
        <v>336</v>
      </c>
      <c r="AJ304" s="35">
        <v>150</v>
      </c>
      <c r="AK304" s="17">
        <f>+AG304+(AH304+AI304)-AJ304</f>
        <v>270</v>
      </c>
      <c r="AL304" s="42">
        <f t="shared" si="201"/>
        <v>0</v>
      </c>
      <c r="AM304" s="42">
        <f t="shared" si="201"/>
        <v>0</v>
      </c>
      <c r="AN304" s="35">
        <v>150</v>
      </c>
      <c r="AO304" s="24">
        <f>+AK304+AL304+AM304-AN304</f>
        <v>120</v>
      </c>
      <c r="AP304" s="42">
        <f t="shared" si="184"/>
        <v>0</v>
      </c>
      <c r="AQ304" s="42">
        <f t="shared" si="184"/>
        <v>0</v>
      </c>
      <c r="AR304" s="68">
        <v>120</v>
      </c>
      <c r="AS304" s="71">
        <f t="shared" si="423"/>
        <v>0</v>
      </c>
      <c r="AT304" s="60">
        <f t="shared" si="185"/>
        <v>0</v>
      </c>
      <c r="AU304" s="60">
        <f t="shared" si="185"/>
        <v>0</v>
      </c>
      <c r="AV304" s="68"/>
      <c r="AW304" s="69">
        <f t="shared" si="425"/>
        <v>0</v>
      </c>
      <c r="AX304" s="69"/>
      <c r="AY304" s="69"/>
      <c r="AZ304" s="69"/>
      <c r="BA304" s="69"/>
      <c r="BB304" s="128"/>
      <c r="BC304" s="128"/>
      <c r="BD304" s="128"/>
      <c r="BE304" s="128"/>
      <c r="BF304" s="128"/>
      <c r="BG304" s="128"/>
      <c r="BH304" s="128"/>
      <c r="BI304" s="128"/>
      <c r="BJ304" s="128"/>
      <c r="BK304" s="128"/>
      <c r="BL304" s="128"/>
      <c r="BM304" s="128"/>
      <c r="BN304" s="128"/>
      <c r="BO304" s="128"/>
      <c r="BP304" s="128"/>
      <c r="BQ304" s="128"/>
      <c r="BR304" s="128"/>
      <c r="BS304" s="128"/>
      <c r="BT304" s="128"/>
      <c r="BU304" s="18">
        <f t="shared" si="426"/>
        <v>1083.5999999999999</v>
      </c>
    </row>
    <row r="305" spans="2:73" ht="22.8" thickBot="1" x14ac:dyDescent="0.55000000000000004">
      <c r="B305" s="3" t="s">
        <v>334</v>
      </c>
      <c r="C305" s="4" t="s">
        <v>165</v>
      </c>
      <c r="D305" s="11">
        <v>44271</v>
      </c>
      <c r="E305" s="5">
        <v>0</v>
      </c>
      <c r="F305" s="5">
        <f t="shared" ref="F305:F306" si="429">+E305*$C$1</f>
        <v>0</v>
      </c>
      <c r="G305" s="5">
        <f t="shared" ref="G305:G306" si="430">+BU305</f>
        <v>0</v>
      </c>
      <c r="H305" s="41">
        <f t="shared" ref="H305:H306" si="431">+F305+G305</f>
        <v>0</v>
      </c>
      <c r="I305" s="73">
        <v>15</v>
      </c>
      <c r="J305" s="80"/>
      <c r="K305" s="7"/>
      <c r="L305" s="25">
        <v>45001</v>
      </c>
      <c r="M305" s="7"/>
      <c r="N305" s="46" t="s">
        <v>302</v>
      </c>
      <c r="Z305" s="3" t="s">
        <v>334</v>
      </c>
      <c r="AA305" s="36">
        <v>0</v>
      </c>
      <c r="AB305" s="34">
        <v>0</v>
      </c>
      <c r="AC305" s="35">
        <v>0</v>
      </c>
      <c r="AD305" s="35">
        <v>0</v>
      </c>
      <c r="AE305" s="35">
        <v>0</v>
      </c>
      <c r="AF305" s="24">
        <v>0</v>
      </c>
      <c r="AG305" s="21">
        <f t="shared" ref="AG305:AG306" si="432">+AF305-AE305</f>
        <v>0</v>
      </c>
      <c r="AH305" s="42">
        <v>0</v>
      </c>
      <c r="AI305" s="42">
        <v>0</v>
      </c>
      <c r="AJ305" s="35">
        <v>0</v>
      </c>
      <c r="AK305" s="17">
        <f t="shared" ref="AK305:AK306" si="433">+AG305+(AH305+AI305)-AJ305</f>
        <v>0</v>
      </c>
      <c r="AL305" s="42">
        <f>+(0)+(0)+(0)+(0)+(0)+(0)</f>
        <v>0</v>
      </c>
      <c r="AM305" s="42">
        <f>+(0)+(0)+(0)+(0)+(0)+(0)</f>
        <v>0</v>
      </c>
      <c r="AN305" s="35">
        <v>0</v>
      </c>
      <c r="AO305" s="65">
        <f t="shared" ref="AO305:AO306" si="434">+AK305+AL305+AM305-AN305</f>
        <v>0</v>
      </c>
      <c r="AP305" s="42">
        <f>+(0)+(0)+(0)+(0)+(0)+(0)</f>
        <v>0</v>
      </c>
      <c r="AQ305" s="42">
        <f>+(0)+(0)+(0)+(0)+(0)+(0)</f>
        <v>0</v>
      </c>
      <c r="AR305" s="68">
        <v>0</v>
      </c>
      <c r="AS305" s="47">
        <f>+AO305+AP305+AQ305-AR305</f>
        <v>0</v>
      </c>
      <c r="AT305" s="60">
        <f>+(0)+(0)+(0)+(0)+(0)+(0)</f>
        <v>0</v>
      </c>
      <c r="AU305" s="60">
        <f>+(0)+(0)+(0)+(0)+(0)+(0)</f>
        <v>0</v>
      </c>
      <c r="AV305" s="68"/>
      <c r="AW305" s="69">
        <f>+AS305+AT305+AU305-AV305</f>
        <v>0</v>
      </c>
      <c r="AX305" s="69"/>
      <c r="AY305" s="69"/>
      <c r="AZ305" s="69"/>
      <c r="BA305" s="69"/>
      <c r="BB305" s="128"/>
      <c r="BC305" s="128"/>
      <c r="BD305" s="128"/>
      <c r="BE305" s="128"/>
      <c r="BF305" s="128"/>
      <c r="BG305" s="128"/>
      <c r="BH305" s="128"/>
      <c r="BI305" s="128"/>
      <c r="BJ305" s="128"/>
      <c r="BK305" s="128"/>
      <c r="BL305" s="128"/>
      <c r="BM305" s="128"/>
      <c r="BN305" s="128"/>
      <c r="BO305" s="128"/>
      <c r="BP305" s="128"/>
      <c r="BQ305" s="128"/>
      <c r="BR305" s="128"/>
      <c r="BS305" s="128"/>
      <c r="BT305" s="128"/>
      <c r="BU305" s="18">
        <f t="shared" si="426"/>
        <v>0</v>
      </c>
    </row>
    <row r="306" spans="2:73" ht="22.8" thickBot="1" x14ac:dyDescent="0.55000000000000004">
      <c r="B306" s="3" t="s">
        <v>359</v>
      </c>
      <c r="C306" s="4" t="s">
        <v>165</v>
      </c>
      <c r="D306" s="11">
        <v>44607</v>
      </c>
      <c r="E306" s="5">
        <v>0</v>
      </c>
      <c r="F306" s="5">
        <f t="shared" si="429"/>
        <v>0</v>
      </c>
      <c r="G306" s="5">
        <f t="shared" si="430"/>
        <v>0</v>
      </c>
      <c r="H306" s="41">
        <f t="shared" si="431"/>
        <v>0</v>
      </c>
      <c r="I306" s="73">
        <v>15</v>
      </c>
      <c r="J306" s="80"/>
      <c r="K306" s="7"/>
      <c r="L306" s="25">
        <v>45337</v>
      </c>
      <c r="M306" s="7"/>
      <c r="N306" s="46" t="s">
        <v>302</v>
      </c>
      <c r="Z306" s="3" t="s">
        <v>359</v>
      </c>
      <c r="AA306" s="34">
        <v>0</v>
      </c>
      <c r="AB306" s="34">
        <v>0</v>
      </c>
      <c r="AC306" s="35">
        <v>0</v>
      </c>
      <c r="AD306" s="35">
        <v>0</v>
      </c>
      <c r="AE306" s="35">
        <v>0</v>
      </c>
      <c r="AF306" s="24">
        <v>0</v>
      </c>
      <c r="AG306" s="21">
        <f t="shared" si="432"/>
        <v>0</v>
      </c>
      <c r="AH306" s="42">
        <v>0</v>
      </c>
      <c r="AI306" s="42">
        <v>0</v>
      </c>
      <c r="AJ306" s="35">
        <v>0</v>
      </c>
      <c r="AK306" s="17">
        <f t="shared" si="433"/>
        <v>0</v>
      </c>
      <c r="AL306" s="42">
        <v>0</v>
      </c>
      <c r="AM306" s="42">
        <v>0</v>
      </c>
      <c r="AN306" s="35">
        <v>0</v>
      </c>
      <c r="AO306" s="24">
        <f t="shared" si="434"/>
        <v>0</v>
      </c>
      <c r="AP306" s="42">
        <f t="shared" si="184"/>
        <v>0</v>
      </c>
      <c r="AQ306" s="42">
        <f t="shared" si="184"/>
        <v>0</v>
      </c>
      <c r="AR306" s="68">
        <v>0</v>
      </c>
      <c r="AS306" s="47">
        <f t="shared" ref="AS306" si="435">+AO306+AP306+AQ306-AR306</f>
        <v>0</v>
      </c>
      <c r="AT306" s="60">
        <f t="shared" si="185"/>
        <v>0</v>
      </c>
      <c r="AU306" s="60">
        <f t="shared" si="185"/>
        <v>0</v>
      </c>
      <c r="AV306" s="68"/>
      <c r="AW306" s="69">
        <f t="shared" ref="AW306" si="436">+AS306+AT306+AU306-AV306</f>
        <v>0</v>
      </c>
      <c r="AX306" s="69"/>
      <c r="AY306" s="69"/>
      <c r="AZ306" s="69"/>
      <c r="BA306" s="69"/>
      <c r="BB306" s="128"/>
      <c r="BC306" s="128"/>
      <c r="BD306" s="128"/>
      <c r="BE306" s="128"/>
      <c r="BF306" s="128"/>
      <c r="BG306" s="128"/>
      <c r="BH306" s="128"/>
      <c r="BI306" s="128"/>
      <c r="BJ306" s="128"/>
      <c r="BK306" s="128"/>
      <c r="BL306" s="128"/>
      <c r="BM306" s="128"/>
      <c r="BN306" s="128"/>
      <c r="BO306" s="128"/>
      <c r="BP306" s="128"/>
      <c r="BQ306" s="128"/>
      <c r="BR306" s="128"/>
      <c r="BS306" s="128"/>
      <c r="BT306" s="128"/>
      <c r="BU306" s="18">
        <f t="shared" si="426"/>
        <v>0</v>
      </c>
    </row>
    <row r="307" spans="2:73" ht="22.8" thickBot="1" x14ac:dyDescent="0.55000000000000004">
      <c r="B307" s="3" t="s">
        <v>34</v>
      </c>
      <c r="C307" s="4" t="s">
        <v>165</v>
      </c>
      <c r="D307" s="3" t="s">
        <v>118</v>
      </c>
      <c r="E307" s="5">
        <v>5</v>
      </c>
      <c r="F307" s="5">
        <f>+E307*$C$1</f>
        <v>2666.65</v>
      </c>
      <c r="G307" s="5">
        <f>+BU307</f>
        <v>1206</v>
      </c>
      <c r="H307" s="41">
        <f>+F307+G307</f>
        <v>3872.65</v>
      </c>
      <c r="I307" s="73">
        <v>11</v>
      </c>
      <c r="J307" s="80"/>
      <c r="K307" s="7"/>
      <c r="L307" s="25">
        <v>45426</v>
      </c>
      <c r="M307" s="7"/>
      <c r="N307" s="46" t="s">
        <v>302</v>
      </c>
      <c r="Z307" s="3" t="s">
        <v>34</v>
      </c>
      <c r="AA307" s="34">
        <v>450</v>
      </c>
      <c r="AB307" s="34">
        <v>150</v>
      </c>
      <c r="AC307" s="35">
        <v>96</v>
      </c>
      <c r="AD307" s="35">
        <v>132</v>
      </c>
      <c r="AE307" s="35">
        <v>30</v>
      </c>
      <c r="AF307" s="24">
        <v>30</v>
      </c>
      <c r="AG307" s="21">
        <f t="shared" ref="AG307:AG312" si="437">+AF307-AE307</f>
        <v>0</v>
      </c>
      <c r="AH307" s="42">
        <v>0</v>
      </c>
      <c r="AI307" s="42">
        <f>+(0)+(0)+(0)+(0)+(54)+(54)</f>
        <v>108</v>
      </c>
      <c r="AJ307" s="35">
        <v>108</v>
      </c>
      <c r="AK307" s="17">
        <f t="shared" ref="AK307:AK312" si="438">+AG307+(AH307+AI307)-AJ307</f>
        <v>0</v>
      </c>
      <c r="AL307" s="42">
        <f>+(0)+(0)+(78)+(0)+(54)+(0)</f>
        <v>132</v>
      </c>
      <c r="AM307" s="42">
        <f>+(0)+(0)+(0)+(0)+(0)+(0)</f>
        <v>0</v>
      </c>
      <c r="AN307" s="35">
        <v>132</v>
      </c>
      <c r="AO307" s="65">
        <f t="shared" ref="AO307:AO312" si="439">+AK307+AL307+AM307-AN307</f>
        <v>0</v>
      </c>
      <c r="AP307" s="42">
        <v>108</v>
      </c>
      <c r="AQ307" s="42">
        <f>+(0)+(0)+(0)+(0)+(0)+(0)</f>
        <v>0</v>
      </c>
      <c r="AR307" s="68">
        <v>108</v>
      </c>
      <c r="AS307" s="71">
        <f t="shared" ref="AS307:AS312" si="440">+AO307+AP307+AQ307-AR307</f>
        <v>0</v>
      </c>
      <c r="AT307" s="60">
        <f>+(0)+(0)+(0)+(0)+(0)+(0)</f>
        <v>0</v>
      </c>
      <c r="AU307" s="60">
        <f>+(0)+(0)+(0)+(0)+(0)+(0)</f>
        <v>0</v>
      </c>
      <c r="AV307" s="68"/>
      <c r="AW307" s="69">
        <f t="shared" ref="AW307:AW312" si="441">+AS307+AT307+AU307-AV307</f>
        <v>0</v>
      </c>
      <c r="AX307" s="69"/>
      <c r="AY307" s="69"/>
      <c r="AZ307" s="69"/>
      <c r="BA307" s="69"/>
      <c r="BB307" s="128"/>
      <c r="BC307" s="128"/>
      <c r="BD307" s="128"/>
      <c r="BE307" s="128"/>
      <c r="BF307" s="128"/>
      <c r="BG307" s="128"/>
      <c r="BH307" s="128"/>
      <c r="BI307" s="128"/>
      <c r="BJ307" s="128"/>
      <c r="BK307" s="128"/>
      <c r="BL307" s="128"/>
      <c r="BM307" s="128"/>
      <c r="BN307" s="128"/>
      <c r="BO307" s="128"/>
      <c r="BP307" s="128"/>
      <c r="BQ307" s="128"/>
      <c r="BR307" s="128"/>
      <c r="BS307" s="128"/>
      <c r="BT307" s="128"/>
      <c r="BU307" s="18">
        <f t="shared" si="426"/>
        <v>1206</v>
      </c>
    </row>
    <row r="308" spans="2:73" ht="22.8" thickBot="1" x14ac:dyDescent="0.55000000000000004">
      <c r="B308" s="3" t="s">
        <v>365</v>
      </c>
      <c r="C308" s="4" t="s">
        <v>166</v>
      </c>
      <c r="D308" s="11">
        <v>44670</v>
      </c>
      <c r="E308" s="51">
        <v>0</v>
      </c>
      <c r="F308" s="5">
        <f t="shared" ref="F308" si="442">+E308*$C$1</f>
        <v>0</v>
      </c>
      <c r="G308" s="5">
        <f>+'BIENIOS EDUARDO FREI M.'!BU308</f>
        <v>0</v>
      </c>
      <c r="H308" s="41">
        <f t="shared" ref="H308" si="443">+F308+G308</f>
        <v>0</v>
      </c>
      <c r="I308" s="73">
        <v>15</v>
      </c>
      <c r="J308" s="80"/>
      <c r="K308" s="7"/>
      <c r="L308" s="52">
        <v>45401</v>
      </c>
      <c r="M308" s="7"/>
      <c r="N308" s="46" t="s">
        <v>302</v>
      </c>
      <c r="Z308" s="3" t="s">
        <v>365</v>
      </c>
      <c r="AA308" s="37">
        <v>0</v>
      </c>
      <c r="AB308" s="34">
        <v>0</v>
      </c>
      <c r="AC308" s="35">
        <v>0</v>
      </c>
      <c r="AD308" s="35">
        <v>0</v>
      </c>
      <c r="AE308" s="35">
        <v>0</v>
      </c>
      <c r="AF308" s="24">
        <v>0</v>
      </c>
      <c r="AG308" s="21">
        <f t="shared" si="437"/>
        <v>0</v>
      </c>
      <c r="AH308" s="42">
        <v>0</v>
      </c>
      <c r="AI308" s="42">
        <v>0</v>
      </c>
      <c r="AJ308" s="35">
        <v>0</v>
      </c>
      <c r="AK308" s="17">
        <f t="shared" si="438"/>
        <v>0</v>
      </c>
      <c r="AL308" s="42">
        <v>0</v>
      </c>
      <c r="AM308" s="42">
        <v>0</v>
      </c>
      <c r="AN308" s="35">
        <v>0</v>
      </c>
      <c r="AO308" s="24">
        <f t="shared" si="439"/>
        <v>0</v>
      </c>
      <c r="AP308" s="42">
        <f>+(0)+(0)+(0)+(0)+(0)+(0)</f>
        <v>0</v>
      </c>
      <c r="AQ308" s="42">
        <f>+(0)+(0)+(0)+(0)+(0)+(0)</f>
        <v>0</v>
      </c>
      <c r="AR308" s="68">
        <v>0</v>
      </c>
      <c r="AS308" s="71">
        <f t="shared" si="440"/>
        <v>0</v>
      </c>
      <c r="AT308" s="60">
        <f>+(0)+(0)+(0)+(0)+(0)+(0)</f>
        <v>0</v>
      </c>
      <c r="AU308" s="60">
        <f>+(0)+(0)+(0)+(0)+(0)+(0)</f>
        <v>0</v>
      </c>
      <c r="AV308" s="68"/>
      <c r="AW308" s="69">
        <f t="shared" si="441"/>
        <v>0</v>
      </c>
      <c r="AX308" s="69"/>
      <c r="AY308" s="69"/>
      <c r="AZ308" s="69"/>
      <c r="BA308" s="69"/>
      <c r="BB308" s="128"/>
      <c r="BC308" s="128"/>
      <c r="BD308" s="128"/>
      <c r="BE308" s="128"/>
      <c r="BF308" s="128"/>
      <c r="BG308" s="128"/>
      <c r="BH308" s="128"/>
      <c r="BI308" s="128"/>
      <c r="BJ308" s="128"/>
      <c r="BK308" s="128"/>
      <c r="BL308" s="128"/>
      <c r="BM308" s="128"/>
      <c r="BN308" s="128"/>
      <c r="BO308" s="128"/>
      <c r="BP308" s="128"/>
      <c r="BQ308" s="128"/>
      <c r="BR308" s="128"/>
      <c r="BS308" s="128"/>
      <c r="BT308" s="128"/>
      <c r="BU308" s="18">
        <f t="shared" si="426"/>
        <v>0</v>
      </c>
    </row>
    <row r="309" spans="2:73" ht="22.8" thickBot="1" x14ac:dyDescent="0.55000000000000004">
      <c r="B309" s="3" t="s">
        <v>350</v>
      </c>
      <c r="C309" s="4" t="s">
        <v>165</v>
      </c>
      <c r="D309" s="11">
        <v>44440</v>
      </c>
      <c r="E309" s="5">
        <v>0</v>
      </c>
      <c r="F309" s="5">
        <f>+E309*$C$1</f>
        <v>0</v>
      </c>
      <c r="G309" s="5">
        <f>+BU309</f>
        <v>0</v>
      </c>
      <c r="H309" s="41">
        <f>+F309+G309</f>
        <v>0</v>
      </c>
      <c r="I309" s="73">
        <v>15</v>
      </c>
      <c r="J309" s="80"/>
      <c r="K309" s="7"/>
      <c r="L309" s="25">
        <v>45170</v>
      </c>
      <c r="M309" s="7"/>
      <c r="N309" s="46" t="s">
        <v>302</v>
      </c>
      <c r="Z309" s="3" t="s">
        <v>350</v>
      </c>
      <c r="AA309" s="36">
        <v>0</v>
      </c>
      <c r="AB309" s="34">
        <v>0</v>
      </c>
      <c r="AC309" s="35">
        <v>0</v>
      </c>
      <c r="AD309" s="35">
        <v>0</v>
      </c>
      <c r="AE309" s="35">
        <v>0</v>
      </c>
      <c r="AF309" s="24">
        <v>0</v>
      </c>
      <c r="AG309" s="21">
        <f t="shared" si="437"/>
        <v>0</v>
      </c>
      <c r="AH309" s="42">
        <v>0</v>
      </c>
      <c r="AI309" s="42">
        <v>0</v>
      </c>
      <c r="AJ309" s="35">
        <v>0</v>
      </c>
      <c r="AK309" s="17">
        <f t="shared" si="438"/>
        <v>0</v>
      </c>
      <c r="AL309" s="42">
        <f t="shared" si="201"/>
        <v>0</v>
      </c>
      <c r="AM309" s="42">
        <f t="shared" si="201"/>
        <v>0</v>
      </c>
      <c r="AN309" s="35">
        <v>0</v>
      </c>
      <c r="AO309" s="65">
        <f t="shared" si="439"/>
        <v>0</v>
      </c>
      <c r="AP309" s="42">
        <f t="shared" si="184"/>
        <v>0</v>
      </c>
      <c r="AQ309" s="42">
        <f t="shared" si="184"/>
        <v>0</v>
      </c>
      <c r="AR309" s="68">
        <v>0</v>
      </c>
      <c r="AS309" s="71">
        <f t="shared" si="440"/>
        <v>0</v>
      </c>
      <c r="AT309" s="60">
        <f t="shared" si="185"/>
        <v>0</v>
      </c>
      <c r="AU309" s="60">
        <f t="shared" si="185"/>
        <v>0</v>
      </c>
      <c r="AV309" s="68"/>
      <c r="AW309" s="69">
        <f t="shared" si="441"/>
        <v>0</v>
      </c>
      <c r="AX309" s="69"/>
      <c r="AY309" s="69"/>
      <c r="AZ309" s="69"/>
      <c r="BA309" s="69"/>
      <c r="BB309" s="128"/>
      <c r="BC309" s="128"/>
      <c r="BD309" s="128"/>
      <c r="BE309" s="128"/>
      <c r="BF309" s="128"/>
      <c r="BG309" s="128"/>
      <c r="BH309" s="128"/>
      <c r="BI309" s="128"/>
      <c r="BJ309" s="128"/>
      <c r="BK309" s="128"/>
      <c r="BL309" s="128"/>
      <c r="BM309" s="128"/>
      <c r="BN309" s="128"/>
      <c r="BO309" s="128"/>
      <c r="BP309" s="128"/>
      <c r="BQ309" s="128"/>
      <c r="BR309" s="128"/>
      <c r="BS309" s="128"/>
      <c r="BT309" s="128"/>
      <c r="BU309" s="18">
        <f t="shared" si="426"/>
        <v>0</v>
      </c>
    </row>
    <row r="310" spans="2:73" ht="22.8" thickBot="1" x14ac:dyDescent="0.55000000000000004">
      <c r="B310" s="3" t="s">
        <v>368</v>
      </c>
      <c r="C310" s="4" t="s">
        <v>165</v>
      </c>
      <c r="D310" s="11">
        <v>44671</v>
      </c>
      <c r="E310" s="5">
        <v>0</v>
      </c>
      <c r="F310" s="5">
        <f t="shared" ref="F310" si="444">+E310*$C$1</f>
        <v>0</v>
      </c>
      <c r="G310" s="5">
        <f t="shared" ref="G310" si="445">+BU310</f>
        <v>0</v>
      </c>
      <c r="H310" s="41">
        <f t="shared" ref="H310" si="446">+F310+G310</f>
        <v>0</v>
      </c>
      <c r="I310" s="73">
        <v>15</v>
      </c>
      <c r="J310" s="80"/>
      <c r="K310" s="7"/>
      <c r="L310" s="25">
        <v>45402</v>
      </c>
      <c r="M310" s="7"/>
      <c r="N310" s="46" t="s">
        <v>302</v>
      </c>
      <c r="Z310" s="3" t="s">
        <v>368</v>
      </c>
      <c r="AA310" s="34">
        <v>0</v>
      </c>
      <c r="AB310" s="34">
        <v>0</v>
      </c>
      <c r="AC310" s="35">
        <v>0</v>
      </c>
      <c r="AD310" s="35">
        <v>0</v>
      </c>
      <c r="AE310" s="35">
        <v>0</v>
      </c>
      <c r="AF310" s="24">
        <v>0</v>
      </c>
      <c r="AG310" s="21">
        <f t="shared" si="437"/>
        <v>0</v>
      </c>
      <c r="AH310" s="42">
        <v>0</v>
      </c>
      <c r="AI310" s="42">
        <v>0</v>
      </c>
      <c r="AJ310" s="35">
        <v>0</v>
      </c>
      <c r="AK310" s="17">
        <f t="shared" si="438"/>
        <v>0</v>
      </c>
      <c r="AL310" s="42">
        <v>0</v>
      </c>
      <c r="AM310" s="42">
        <v>0</v>
      </c>
      <c r="AN310" s="35">
        <v>0</v>
      </c>
      <c r="AO310" s="65">
        <f t="shared" si="439"/>
        <v>0</v>
      </c>
      <c r="AP310" s="42">
        <f t="shared" si="310"/>
        <v>0</v>
      </c>
      <c r="AQ310" s="42">
        <f t="shared" si="310"/>
        <v>0</v>
      </c>
      <c r="AR310" s="68">
        <v>0</v>
      </c>
      <c r="AS310" s="71">
        <f t="shared" si="440"/>
        <v>0</v>
      </c>
      <c r="AT310" s="60">
        <f t="shared" si="311"/>
        <v>0</v>
      </c>
      <c r="AU310" s="60">
        <f t="shared" si="311"/>
        <v>0</v>
      </c>
      <c r="AV310" s="68"/>
      <c r="AW310" s="69">
        <f t="shared" si="441"/>
        <v>0</v>
      </c>
      <c r="AX310" s="69"/>
      <c r="AY310" s="69"/>
      <c r="AZ310" s="69"/>
      <c r="BA310" s="69"/>
      <c r="BB310" s="128"/>
      <c r="BC310" s="128"/>
      <c r="BD310" s="128"/>
      <c r="BE310" s="128"/>
      <c r="BF310" s="128"/>
      <c r="BG310" s="128"/>
      <c r="BH310" s="128"/>
      <c r="BI310" s="128"/>
      <c r="BJ310" s="128"/>
      <c r="BK310" s="128"/>
      <c r="BL310" s="128"/>
      <c r="BM310" s="128"/>
      <c r="BN310" s="128"/>
      <c r="BO310" s="128"/>
      <c r="BP310" s="128"/>
      <c r="BQ310" s="128"/>
      <c r="BR310" s="128"/>
      <c r="BS310" s="128"/>
      <c r="BT310" s="128"/>
      <c r="BU310" s="18">
        <f t="shared" si="426"/>
        <v>0</v>
      </c>
    </row>
    <row r="311" spans="2:73" ht="22.8" thickBot="1" x14ac:dyDescent="0.55000000000000004">
      <c r="B311" s="3" t="s">
        <v>296</v>
      </c>
      <c r="C311" s="4" t="s">
        <v>165</v>
      </c>
      <c r="D311" s="10">
        <v>43852</v>
      </c>
      <c r="E311" s="5">
        <v>1</v>
      </c>
      <c r="F311" s="5">
        <f t="shared" ref="F311:F315" si="447">+E311*$C$1</f>
        <v>533.33000000000004</v>
      </c>
      <c r="G311" s="5">
        <f>+BU311</f>
        <v>450</v>
      </c>
      <c r="H311" s="41">
        <f>+F311+G311</f>
        <v>983.33</v>
      </c>
      <c r="I311" s="73">
        <v>14</v>
      </c>
      <c r="J311" s="80"/>
      <c r="K311" s="7"/>
      <c r="L311" s="25">
        <v>45313</v>
      </c>
      <c r="M311" s="7"/>
      <c r="N311" s="46" t="s">
        <v>302</v>
      </c>
      <c r="Z311" s="3" t="s">
        <v>296</v>
      </c>
      <c r="AA311" s="34">
        <v>0</v>
      </c>
      <c r="AB311" s="34">
        <v>0</v>
      </c>
      <c r="AC311" s="35">
        <v>0</v>
      </c>
      <c r="AD311" s="35">
        <v>0</v>
      </c>
      <c r="AE311" s="35">
        <v>0</v>
      </c>
      <c r="AF311" s="24">
        <v>0</v>
      </c>
      <c r="AG311" s="21">
        <f t="shared" si="437"/>
        <v>0</v>
      </c>
      <c r="AH311" s="42">
        <v>0</v>
      </c>
      <c r="AI311" s="42">
        <f>+(0)+(306.6)+(54.6)+(0)+(54)+(162)</f>
        <v>577.20000000000005</v>
      </c>
      <c r="AJ311" s="35">
        <v>150</v>
      </c>
      <c r="AK311" s="17">
        <f t="shared" si="438"/>
        <v>427.20000000000005</v>
      </c>
      <c r="AL311" s="42">
        <f>+(0)+(0)+(0)+(0)+(0)+(0)</f>
        <v>0</v>
      </c>
      <c r="AM311" s="42">
        <f>+(0)+(0)+(0)+(0)+(0)+(0)</f>
        <v>0</v>
      </c>
      <c r="AN311" s="35">
        <v>150</v>
      </c>
      <c r="AO311" s="24">
        <f t="shared" si="439"/>
        <v>277.20000000000005</v>
      </c>
      <c r="AP311" s="42">
        <f t="shared" si="27"/>
        <v>0</v>
      </c>
      <c r="AQ311" s="42">
        <f t="shared" si="27"/>
        <v>0</v>
      </c>
      <c r="AR311" s="68">
        <v>150</v>
      </c>
      <c r="AS311" s="71">
        <f t="shared" si="440"/>
        <v>127.20000000000005</v>
      </c>
      <c r="AT311" s="60">
        <f t="shared" si="31"/>
        <v>0</v>
      </c>
      <c r="AU311" s="60">
        <f t="shared" si="31"/>
        <v>0</v>
      </c>
      <c r="AV311" s="68"/>
      <c r="AW311" s="69">
        <f t="shared" si="441"/>
        <v>127.20000000000005</v>
      </c>
      <c r="AX311" s="69"/>
      <c r="AY311" s="69"/>
      <c r="AZ311" s="69"/>
      <c r="BA311" s="69"/>
      <c r="BB311" s="128"/>
      <c r="BC311" s="128"/>
      <c r="BD311" s="128"/>
      <c r="BE311" s="128"/>
      <c r="BF311" s="128"/>
      <c r="BG311" s="128"/>
      <c r="BH311" s="128"/>
      <c r="BI311" s="128"/>
      <c r="BJ311" s="128"/>
      <c r="BK311" s="128"/>
      <c r="BL311" s="128"/>
      <c r="BM311" s="128"/>
      <c r="BN311" s="128"/>
      <c r="BO311" s="128"/>
      <c r="BP311" s="128"/>
      <c r="BQ311" s="128"/>
      <c r="BR311" s="128"/>
      <c r="BS311" s="128"/>
      <c r="BT311" s="128"/>
      <c r="BU311" s="18">
        <f t="shared" si="426"/>
        <v>450</v>
      </c>
    </row>
    <row r="312" spans="2:73" ht="22.8" thickBot="1" x14ac:dyDescent="0.55000000000000004">
      <c r="B312" s="3" t="s">
        <v>371</v>
      </c>
      <c r="C312" s="4" t="s">
        <v>354</v>
      </c>
      <c r="D312" s="11">
        <v>44705</v>
      </c>
      <c r="E312" s="5">
        <v>0</v>
      </c>
      <c r="F312" s="5">
        <f t="shared" si="447"/>
        <v>0</v>
      </c>
      <c r="G312" s="5">
        <f>+BU312</f>
        <v>0</v>
      </c>
      <c r="H312" s="41">
        <f>+F312+G312</f>
        <v>0</v>
      </c>
      <c r="I312" s="73">
        <v>15</v>
      </c>
      <c r="J312" s="80"/>
      <c r="K312" s="7"/>
      <c r="L312" s="25">
        <v>45436</v>
      </c>
      <c r="M312" s="7"/>
      <c r="N312" s="46" t="s">
        <v>302</v>
      </c>
      <c r="Z312" s="3" t="s">
        <v>371</v>
      </c>
      <c r="AA312" s="34">
        <v>0</v>
      </c>
      <c r="AB312" s="34">
        <v>0</v>
      </c>
      <c r="AC312" s="35">
        <v>0</v>
      </c>
      <c r="AD312" s="35">
        <v>0</v>
      </c>
      <c r="AE312" s="35">
        <v>0</v>
      </c>
      <c r="AF312" s="24">
        <v>0</v>
      </c>
      <c r="AG312" s="21">
        <f t="shared" si="437"/>
        <v>0</v>
      </c>
      <c r="AH312" s="42">
        <v>0</v>
      </c>
      <c r="AI312" s="42">
        <v>0</v>
      </c>
      <c r="AJ312" s="35">
        <v>0</v>
      </c>
      <c r="AK312" s="17">
        <f t="shared" si="438"/>
        <v>0</v>
      </c>
      <c r="AL312" s="42">
        <v>0</v>
      </c>
      <c r="AM312" s="42">
        <v>0</v>
      </c>
      <c r="AN312" s="35">
        <v>0</v>
      </c>
      <c r="AO312" s="64">
        <f t="shared" si="439"/>
        <v>0</v>
      </c>
      <c r="AP312" s="42">
        <f t="shared" si="27"/>
        <v>0</v>
      </c>
      <c r="AQ312" s="42">
        <f t="shared" si="27"/>
        <v>0</v>
      </c>
      <c r="AR312" s="68">
        <v>0</v>
      </c>
      <c r="AS312" s="71">
        <f t="shared" si="440"/>
        <v>0</v>
      </c>
      <c r="AT312" s="60">
        <f t="shared" si="31"/>
        <v>0</v>
      </c>
      <c r="AU312" s="60">
        <f t="shared" si="31"/>
        <v>0</v>
      </c>
      <c r="AV312" s="68"/>
      <c r="AW312" s="69">
        <f t="shared" si="441"/>
        <v>0</v>
      </c>
      <c r="AX312" s="69"/>
      <c r="AY312" s="69"/>
      <c r="AZ312" s="69"/>
      <c r="BA312" s="69"/>
      <c r="BB312" s="128"/>
      <c r="BC312" s="128"/>
      <c r="BD312" s="128"/>
      <c r="BE312" s="128"/>
      <c r="BF312" s="128"/>
      <c r="BG312" s="128"/>
      <c r="BH312" s="128"/>
      <c r="BI312" s="128"/>
      <c r="BJ312" s="128"/>
      <c r="BK312" s="128"/>
      <c r="BL312" s="128"/>
      <c r="BM312" s="128"/>
      <c r="BN312" s="128"/>
      <c r="BO312" s="128"/>
      <c r="BP312" s="128"/>
      <c r="BQ312" s="128"/>
      <c r="BR312" s="128"/>
      <c r="BS312" s="128"/>
      <c r="BT312" s="128"/>
      <c r="BU312" s="18">
        <f t="shared" si="426"/>
        <v>0</v>
      </c>
    </row>
    <row r="313" spans="2:73" ht="22.8" thickBot="1" x14ac:dyDescent="0.55000000000000004">
      <c r="B313" s="3" t="s">
        <v>374</v>
      </c>
      <c r="C313" s="4" t="s">
        <v>165</v>
      </c>
      <c r="D313" s="11">
        <v>44734</v>
      </c>
      <c r="E313" s="5">
        <v>0</v>
      </c>
      <c r="F313" s="5">
        <f t="shared" si="447"/>
        <v>0</v>
      </c>
      <c r="G313" s="5">
        <f t="shared" ref="G313" si="448">+BU313</f>
        <v>0</v>
      </c>
      <c r="H313" s="41">
        <f t="shared" ref="H313" si="449">+F313+G313</f>
        <v>0</v>
      </c>
      <c r="I313" s="73">
        <v>15</v>
      </c>
      <c r="J313" s="80"/>
      <c r="K313" s="7"/>
      <c r="L313" s="25">
        <v>45465</v>
      </c>
      <c r="M313" s="7"/>
      <c r="N313" s="46" t="s">
        <v>302</v>
      </c>
      <c r="Z313" s="3" t="s">
        <v>374</v>
      </c>
      <c r="AA313" s="34">
        <v>0</v>
      </c>
      <c r="AB313" s="34">
        <v>0</v>
      </c>
      <c r="AC313" s="35">
        <v>0</v>
      </c>
      <c r="AD313" s="35">
        <v>0</v>
      </c>
      <c r="AE313" s="35">
        <v>0</v>
      </c>
      <c r="AF313" s="24">
        <v>0</v>
      </c>
      <c r="AG313" s="21">
        <f t="shared" ref="AG313" si="450">+AF313-AE313</f>
        <v>0</v>
      </c>
      <c r="AH313" s="42">
        <v>0</v>
      </c>
      <c r="AI313" s="42">
        <v>0</v>
      </c>
      <c r="AJ313" s="35">
        <v>0</v>
      </c>
      <c r="AK313" s="17">
        <f t="shared" ref="AK313" si="451">+AG313+(AH313+AI313)-AJ313</f>
        <v>0</v>
      </c>
      <c r="AL313" s="42">
        <f t="shared" si="201"/>
        <v>0</v>
      </c>
      <c r="AM313" s="42">
        <f t="shared" si="201"/>
        <v>0</v>
      </c>
      <c r="AN313" s="35">
        <v>0</v>
      </c>
      <c r="AO313" s="24">
        <f t="shared" ref="AO313" si="452">+AK313+AL313+AM313-AN313</f>
        <v>0</v>
      </c>
      <c r="AP313" s="42">
        <f t="shared" si="184"/>
        <v>0</v>
      </c>
      <c r="AQ313" s="42">
        <f t="shared" si="184"/>
        <v>0</v>
      </c>
      <c r="AR313" s="68">
        <v>0</v>
      </c>
      <c r="AS313" s="71">
        <f t="shared" ref="AS313" si="453">+AO313+AP313+AQ313-AR313</f>
        <v>0</v>
      </c>
      <c r="AT313" s="60">
        <f t="shared" si="185"/>
        <v>0</v>
      </c>
      <c r="AU313" s="60">
        <f t="shared" si="185"/>
        <v>0</v>
      </c>
      <c r="AV313" s="68"/>
      <c r="AW313" s="69">
        <f t="shared" ref="AW313" si="454">+AS313+AT313+AU313-AV313</f>
        <v>0</v>
      </c>
      <c r="AX313" s="69"/>
      <c r="AY313" s="69"/>
      <c r="AZ313" s="69"/>
      <c r="BA313" s="69"/>
      <c r="BB313" s="128"/>
      <c r="BC313" s="128"/>
      <c r="BD313" s="128"/>
      <c r="BE313" s="128"/>
      <c r="BF313" s="128"/>
      <c r="BG313" s="128"/>
      <c r="BH313" s="128"/>
      <c r="BI313" s="128"/>
      <c r="BJ313" s="128"/>
      <c r="BK313" s="128"/>
      <c r="BL313" s="128"/>
      <c r="BM313" s="128"/>
      <c r="BN313" s="128"/>
      <c r="BO313" s="128"/>
      <c r="BP313" s="128"/>
      <c r="BQ313" s="128"/>
      <c r="BR313" s="128"/>
      <c r="BS313" s="128"/>
      <c r="BT313" s="128"/>
      <c r="BU313" s="18">
        <f t="shared" si="426"/>
        <v>0</v>
      </c>
    </row>
    <row r="314" spans="2:73" ht="22.8" thickBot="1" x14ac:dyDescent="0.55000000000000004">
      <c r="B314" s="3" t="s">
        <v>346</v>
      </c>
      <c r="C314" s="4" t="s">
        <v>165</v>
      </c>
      <c r="D314" s="11">
        <v>44411</v>
      </c>
      <c r="E314" s="5">
        <v>4</v>
      </c>
      <c r="F314" s="5">
        <f t="shared" si="447"/>
        <v>2133.3200000000002</v>
      </c>
      <c r="G314" s="5">
        <f>+BU314</f>
        <v>0</v>
      </c>
      <c r="H314" s="41">
        <f>+F314+G314</f>
        <v>2133.3200000000002</v>
      </c>
      <c r="I314" s="73">
        <v>13</v>
      </c>
      <c r="J314" s="80"/>
      <c r="K314" s="7"/>
      <c r="L314" s="25">
        <v>44927</v>
      </c>
      <c r="M314" s="7"/>
      <c r="N314" s="46" t="s">
        <v>302</v>
      </c>
      <c r="Z314" s="3" t="s">
        <v>346</v>
      </c>
      <c r="AA314" s="34">
        <v>0</v>
      </c>
      <c r="AB314" s="34">
        <v>0</v>
      </c>
      <c r="AC314" s="35">
        <v>0</v>
      </c>
      <c r="AD314" s="35">
        <v>0</v>
      </c>
      <c r="AE314" s="35">
        <v>0</v>
      </c>
      <c r="AF314" s="24">
        <v>0</v>
      </c>
      <c r="AG314" s="21">
        <f t="shared" ref="AG314:AG319" si="455">+AF314-AE314</f>
        <v>0</v>
      </c>
      <c r="AH314" s="42">
        <v>0</v>
      </c>
      <c r="AI314" s="42">
        <v>0</v>
      </c>
      <c r="AJ314" s="35">
        <v>0</v>
      </c>
      <c r="AK314" s="17">
        <f t="shared" ref="AK314:AK319" si="456">+AG314+(AH314+AI314)-AJ314</f>
        <v>0</v>
      </c>
      <c r="AL314" s="42">
        <f t="shared" si="201"/>
        <v>0</v>
      </c>
      <c r="AM314" s="42">
        <f t="shared" si="201"/>
        <v>0</v>
      </c>
      <c r="AN314" s="35">
        <v>0</v>
      </c>
      <c r="AO314" s="24">
        <f t="shared" ref="AO314:AO319" si="457">+AK314+AL314+AM314-AN314</f>
        <v>0</v>
      </c>
      <c r="AP314" s="42">
        <f t="shared" si="184"/>
        <v>0</v>
      </c>
      <c r="AQ314" s="42">
        <f t="shared" si="184"/>
        <v>0</v>
      </c>
      <c r="AR314" s="68">
        <v>0</v>
      </c>
      <c r="AS314" s="74">
        <f t="shared" ref="AS314:AS319" si="458">+AO314+AP314+AQ314-AR314</f>
        <v>0</v>
      </c>
      <c r="AT314" s="60">
        <f t="shared" si="185"/>
        <v>0</v>
      </c>
      <c r="AU314" s="60">
        <f t="shared" si="185"/>
        <v>0</v>
      </c>
      <c r="AV314" s="68"/>
      <c r="AW314" s="69">
        <f>+AS314+AT314+AU314-AV314</f>
        <v>0</v>
      </c>
      <c r="AX314" s="69"/>
      <c r="AY314" s="69"/>
      <c r="AZ314" s="69"/>
      <c r="BA314" s="69"/>
      <c r="BB314" s="128"/>
      <c r="BC314" s="128"/>
      <c r="BD314" s="128"/>
      <c r="BE314" s="128"/>
      <c r="BF314" s="128"/>
      <c r="BG314" s="128"/>
      <c r="BH314" s="128"/>
      <c r="BI314" s="128"/>
      <c r="BJ314" s="128"/>
      <c r="BK314" s="128"/>
      <c r="BL314" s="128"/>
      <c r="BM314" s="128"/>
      <c r="BN314" s="128"/>
      <c r="BO314" s="128"/>
      <c r="BP314" s="128"/>
      <c r="BQ314" s="128"/>
      <c r="BR314" s="128"/>
      <c r="BS314" s="128"/>
      <c r="BT314" s="128"/>
      <c r="BU314" s="18">
        <f t="shared" si="426"/>
        <v>0</v>
      </c>
    </row>
    <row r="315" spans="2:73" ht="22.8" thickBot="1" x14ac:dyDescent="0.55000000000000004">
      <c r="B315" s="3" t="s">
        <v>298</v>
      </c>
      <c r="C315" s="4" t="s">
        <v>164</v>
      </c>
      <c r="D315" s="11">
        <v>44810</v>
      </c>
      <c r="E315" s="5">
        <v>0</v>
      </c>
      <c r="F315" s="5">
        <f t="shared" si="447"/>
        <v>0</v>
      </c>
      <c r="G315" s="5">
        <f>+BU315</f>
        <v>0</v>
      </c>
      <c r="H315" s="41">
        <f>+F315+G315</f>
        <v>0</v>
      </c>
      <c r="I315" s="73">
        <v>15</v>
      </c>
      <c r="J315" s="80"/>
      <c r="K315" s="7"/>
      <c r="L315" s="25">
        <v>45541</v>
      </c>
      <c r="M315" s="7"/>
      <c r="N315" s="46" t="s">
        <v>302</v>
      </c>
      <c r="Z315" s="3" t="s">
        <v>298</v>
      </c>
      <c r="AA315" s="36">
        <v>0</v>
      </c>
      <c r="AB315" s="34">
        <v>0</v>
      </c>
      <c r="AC315" s="35">
        <v>0</v>
      </c>
      <c r="AD315" s="35">
        <v>0</v>
      </c>
      <c r="AE315" s="35">
        <v>0</v>
      </c>
      <c r="AF315" s="24">
        <v>0</v>
      </c>
      <c r="AG315" s="21">
        <f t="shared" si="455"/>
        <v>0</v>
      </c>
      <c r="AH315" s="42">
        <v>0</v>
      </c>
      <c r="AI315" s="42">
        <f>+(0)+(0)+(0)+(0)+(0)+(0)</f>
        <v>0</v>
      </c>
      <c r="AJ315" s="35">
        <v>0</v>
      </c>
      <c r="AK315" s="17">
        <f t="shared" si="456"/>
        <v>0</v>
      </c>
      <c r="AL315" s="42">
        <f>+(0)+(0)+(0)+(0)+(0)+(0)</f>
        <v>0</v>
      </c>
      <c r="AM315" s="42">
        <f>+(0)+(0)+(0)+(0)+(0)+(0)</f>
        <v>0</v>
      </c>
      <c r="AN315" s="35">
        <v>0</v>
      </c>
      <c r="AO315" s="24">
        <f t="shared" si="457"/>
        <v>0</v>
      </c>
      <c r="AP315" s="42">
        <f>+(0)+(0)+(0)+(0)+(0)+(0)</f>
        <v>0</v>
      </c>
      <c r="AQ315" s="42">
        <f>+(0)+(0)+(0)+(0)+(0)+(0)</f>
        <v>0</v>
      </c>
      <c r="AR315" s="35">
        <v>0</v>
      </c>
      <c r="AS315" s="75">
        <f t="shared" si="458"/>
        <v>0</v>
      </c>
      <c r="AT315" s="60">
        <f t="shared" si="15"/>
        <v>0</v>
      </c>
      <c r="AU315" s="60">
        <f t="shared" si="15"/>
        <v>0</v>
      </c>
      <c r="AV315" s="68"/>
      <c r="AW315" s="69">
        <f>+AS315+AT315+AU315-AV315</f>
        <v>0</v>
      </c>
      <c r="AX315" s="69"/>
      <c r="AY315" s="69"/>
      <c r="AZ315" s="69"/>
      <c r="BA315" s="69"/>
      <c r="BB315" s="128"/>
      <c r="BC315" s="128"/>
      <c r="BD315" s="128"/>
      <c r="BE315" s="128"/>
      <c r="BF315" s="128"/>
      <c r="BG315" s="128"/>
      <c r="BH315" s="128"/>
      <c r="BI315" s="128"/>
      <c r="BJ315" s="128"/>
      <c r="BK315" s="128"/>
      <c r="BL315" s="128"/>
      <c r="BM315" s="128"/>
      <c r="BN315" s="128"/>
      <c r="BO315" s="128"/>
      <c r="BP315" s="128"/>
      <c r="BQ315" s="128"/>
      <c r="BR315" s="128"/>
      <c r="BS315" s="128"/>
      <c r="BT315" s="128"/>
      <c r="BU315" s="18">
        <f t="shared" si="426"/>
        <v>0</v>
      </c>
    </row>
    <row r="316" spans="2:73" ht="22.8" thickBot="1" x14ac:dyDescent="0.55000000000000004">
      <c r="B316" s="3" t="s">
        <v>370</v>
      </c>
      <c r="C316" s="4" t="s">
        <v>162</v>
      </c>
      <c r="D316" s="11">
        <v>44700</v>
      </c>
      <c r="E316" s="5">
        <v>0</v>
      </c>
      <c r="F316" s="5">
        <f t="shared" ref="F316:F321" si="459">+E316*$C$1</f>
        <v>0</v>
      </c>
      <c r="G316" s="5">
        <f t="shared" ref="G316" si="460">+BU316</f>
        <v>0</v>
      </c>
      <c r="H316" s="41">
        <f t="shared" ref="H316" si="461">+F316+G316</f>
        <v>0</v>
      </c>
      <c r="I316" s="73">
        <v>15</v>
      </c>
      <c r="J316" s="80"/>
      <c r="K316" s="7"/>
      <c r="L316" s="25">
        <v>45431</v>
      </c>
      <c r="M316" s="7"/>
      <c r="N316" s="46" t="s">
        <v>302</v>
      </c>
      <c r="Z316" s="3" t="s">
        <v>370</v>
      </c>
      <c r="AA316" s="34">
        <v>0</v>
      </c>
      <c r="AB316" s="34">
        <v>0</v>
      </c>
      <c r="AC316" s="35">
        <v>0</v>
      </c>
      <c r="AD316" s="35">
        <v>0</v>
      </c>
      <c r="AE316" s="35">
        <v>0</v>
      </c>
      <c r="AF316" s="24">
        <v>0</v>
      </c>
      <c r="AG316" s="21">
        <f t="shared" si="455"/>
        <v>0</v>
      </c>
      <c r="AH316" s="42">
        <v>0</v>
      </c>
      <c r="AI316" s="42">
        <v>0</v>
      </c>
      <c r="AJ316" s="35">
        <v>0</v>
      </c>
      <c r="AK316" s="17">
        <f t="shared" si="456"/>
        <v>0</v>
      </c>
      <c r="AL316" s="42">
        <v>0</v>
      </c>
      <c r="AM316" s="42">
        <v>0</v>
      </c>
      <c r="AN316" s="35">
        <v>0</v>
      </c>
      <c r="AO316" s="24">
        <f t="shared" si="457"/>
        <v>0</v>
      </c>
      <c r="AP316" s="42">
        <f t="shared" si="184"/>
        <v>0</v>
      </c>
      <c r="AQ316" s="42">
        <f t="shared" si="184"/>
        <v>0</v>
      </c>
      <c r="AR316" s="68">
        <v>0</v>
      </c>
      <c r="AS316" s="71">
        <f t="shared" si="458"/>
        <v>0</v>
      </c>
      <c r="AT316" s="60">
        <f t="shared" si="185"/>
        <v>0</v>
      </c>
      <c r="AU316" s="60">
        <f t="shared" si="185"/>
        <v>0</v>
      </c>
      <c r="AV316" s="68"/>
      <c r="AW316" s="69">
        <f t="shared" ref="AW316" si="462">+AS316+AT316+AU316-AV316</f>
        <v>0</v>
      </c>
      <c r="AX316" s="69"/>
      <c r="AY316" s="69"/>
      <c r="AZ316" s="69"/>
      <c r="BA316" s="69"/>
      <c r="BB316" s="128"/>
      <c r="BC316" s="128"/>
      <c r="BD316" s="128"/>
      <c r="BE316" s="128"/>
      <c r="BF316" s="128"/>
      <c r="BG316" s="128"/>
      <c r="BH316" s="128"/>
      <c r="BI316" s="128"/>
      <c r="BJ316" s="128"/>
      <c r="BK316" s="128"/>
      <c r="BL316" s="128"/>
      <c r="BM316" s="128"/>
      <c r="BN316" s="128"/>
      <c r="BO316" s="128"/>
      <c r="BP316" s="128"/>
      <c r="BQ316" s="128"/>
      <c r="BR316" s="128"/>
      <c r="BS316" s="128"/>
      <c r="BT316" s="128"/>
      <c r="BU316" s="18">
        <f t="shared" si="426"/>
        <v>0</v>
      </c>
    </row>
    <row r="317" spans="2:73" ht="22.8" thickBot="1" x14ac:dyDescent="0.55000000000000004">
      <c r="B317" s="3" t="s">
        <v>358</v>
      </c>
      <c r="C317" s="4" t="s">
        <v>168</v>
      </c>
      <c r="D317" s="11">
        <v>44562</v>
      </c>
      <c r="E317" s="51">
        <v>0</v>
      </c>
      <c r="F317" s="5">
        <f t="shared" si="459"/>
        <v>0</v>
      </c>
      <c r="G317" s="5">
        <f>+BU317</f>
        <v>204</v>
      </c>
      <c r="H317" s="41">
        <f>+F317+G317</f>
        <v>204</v>
      </c>
      <c r="I317" s="73">
        <v>15</v>
      </c>
      <c r="J317" s="82"/>
      <c r="K317" s="7"/>
      <c r="L317" s="55">
        <v>45292</v>
      </c>
      <c r="M317" s="56"/>
      <c r="N317" s="46" t="s">
        <v>302</v>
      </c>
      <c r="Z317" s="3" t="s">
        <v>358</v>
      </c>
      <c r="AA317" s="37">
        <v>0</v>
      </c>
      <c r="AB317" s="34">
        <v>0</v>
      </c>
      <c r="AC317" s="35">
        <v>0</v>
      </c>
      <c r="AD317" s="35">
        <v>0</v>
      </c>
      <c r="AE317" s="35">
        <v>0</v>
      </c>
      <c r="AF317" s="24">
        <v>0</v>
      </c>
      <c r="AG317" s="21">
        <f t="shared" si="455"/>
        <v>0</v>
      </c>
      <c r="AH317" s="42">
        <v>0</v>
      </c>
      <c r="AI317" s="42">
        <v>0</v>
      </c>
      <c r="AJ317" s="35">
        <v>0</v>
      </c>
      <c r="AK317" s="17">
        <f t="shared" si="456"/>
        <v>0</v>
      </c>
      <c r="AL317" s="42">
        <v>0</v>
      </c>
      <c r="AM317" s="42">
        <v>0</v>
      </c>
      <c r="AN317" s="35">
        <v>0</v>
      </c>
      <c r="AO317" s="65">
        <f t="shared" si="457"/>
        <v>0</v>
      </c>
      <c r="AP317" s="42">
        <f t="shared" si="92"/>
        <v>0</v>
      </c>
      <c r="AQ317" s="42">
        <f>+(0)+(0)+(0)+(0)+(108)+(96)</f>
        <v>204</v>
      </c>
      <c r="AR317" s="68">
        <v>120</v>
      </c>
      <c r="AS317" s="71">
        <f t="shared" si="458"/>
        <v>84</v>
      </c>
      <c r="AT317" s="60">
        <f t="shared" si="75"/>
        <v>0</v>
      </c>
      <c r="AU317" s="60">
        <f t="shared" si="75"/>
        <v>0</v>
      </c>
      <c r="AV317" s="68">
        <v>84</v>
      </c>
      <c r="AW317" s="72">
        <f t="shared" ref="AW317:AW323" si="463">+AS317+AT317+AU317-AV317</f>
        <v>0</v>
      </c>
      <c r="AX317" s="78"/>
      <c r="AY317" s="78"/>
      <c r="AZ317" s="77"/>
      <c r="BA317" s="78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  <c r="BR317" s="129"/>
      <c r="BS317" s="129"/>
      <c r="BT317" s="129"/>
      <c r="BU317" s="18">
        <f t="shared" ref="BU317:BU329" si="464">SUM(AA317:AD317)+AE317+AJ317+AN317+AR317+AV317</f>
        <v>204</v>
      </c>
    </row>
    <row r="318" spans="2:73" ht="22.8" thickBot="1" x14ac:dyDescent="0.55000000000000004">
      <c r="B318" s="3" t="s">
        <v>349</v>
      </c>
      <c r="C318" s="4" t="s">
        <v>164</v>
      </c>
      <c r="D318" s="11">
        <v>44434</v>
      </c>
      <c r="E318" s="5">
        <v>0</v>
      </c>
      <c r="F318" s="5">
        <f t="shared" si="459"/>
        <v>0</v>
      </c>
      <c r="G318" s="5">
        <f>+BU318</f>
        <v>240</v>
      </c>
      <c r="H318" s="41">
        <f>+F318+G318</f>
        <v>240</v>
      </c>
      <c r="I318" s="73">
        <v>15</v>
      </c>
      <c r="J318" s="82"/>
      <c r="K318" s="7"/>
      <c r="L318" s="25">
        <v>45164</v>
      </c>
      <c r="M318" s="7"/>
      <c r="N318" s="46" t="s">
        <v>302</v>
      </c>
      <c r="Z318" s="3" t="s">
        <v>349</v>
      </c>
      <c r="AA318" s="34">
        <v>0</v>
      </c>
      <c r="AB318" s="34">
        <v>0</v>
      </c>
      <c r="AC318" s="35">
        <v>0</v>
      </c>
      <c r="AD318" s="35">
        <v>0</v>
      </c>
      <c r="AE318" s="35">
        <v>0</v>
      </c>
      <c r="AF318" s="24">
        <v>0</v>
      </c>
      <c r="AG318" s="21">
        <f t="shared" si="455"/>
        <v>0</v>
      </c>
      <c r="AH318" s="42">
        <v>0</v>
      </c>
      <c r="AI318" s="42">
        <v>0</v>
      </c>
      <c r="AJ318" s="35">
        <v>0</v>
      </c>
      <c r="AK318" s="17">
        <f t="shared" si="456"/>
        <v>0</v>
      </c>
      <c r="AL318" s="42">
        <f t="shared" si="178"/>
        <v>0</v>
      </c>
      <c r="AM318" s="42">
        <f t="shared" si="179"/>
        <v>0</v>
      </c>
      <c r="AN318" s="35">
        <v>0</v>
      </c>
      <c r="AO318" s="24">
        <f t="shared" si="457"/>
        <v>0</v>
      </c>
      <c r="AP318" s="42">
        <f>+(0)+(0)+(0)+(0)+(30)+(30)</f>
        <v>60</v>
      </c>
      <c r="AQ318" s="42">
        <f>+(312)+(0)+(0)+(0)+(0)+(96)</f>
        <v>408</v>
      </c>
      <c r="AR318" s="68">
        <v>120</v>
      </c>
      <c r="AS318" s="71">
        <f t="shared" si="458"/>
        <v>348</v>
      </c>
      <c r="AT318" s="60">
        <f t="shared" si="185"/>
        <v>0</v>
      </c>
      <c r="AU318" s="60">
        <f t="shared" si="185"/>
        <v>0</v>
      </c>
      <c r="AV318" s="68">
        <v>120</v>
      </c>
      <c r="AW318" s="72">
        <f t="shared" si="463"/>
        <v>228</v>
      </c>
      <c r="AX318" s="78"/>
      <c r="AY318" s="78"/>
      <c r="AZ318" s="77"/>
      <c r="BA318" s="78"/>
      <c r="BB318" s="129"/>
      <c r="BC318" s="129"/>
      <c r="BD318" s="129"/>
      <c r="BE318" s="129"/>
      <c r="BF318" s="129"/>
      <c r="BG318" s="129"/>
      <c r="BH318" s="129"/>
      <c r="BI318" s="129"/>
      <c r="BJ318" s="129"/>
      <c r="BK318" s="129"/>
      <c r="BL318" s="129"/>
      <c r="BM318" s="129"/>
      <c r="BN318" s="129"/>
      <c r="BO318" s="129"/>
      <c r="BP318" s="129"/>
      <c r="BQ318" s="129"/>
      <c r="BR318" s="129"/>
      <c r="BS318" s="129"/>
      <c r="BT318" s="129"/>
      <c r="BU318" s="18">
        <f t="shared" si="464"/>
        <v>240</v>
      </c>
    </row>
    <row r="319" spans="2:73" ht="22.8" thickBot="1" x14ac:dyDescent="0.55000000000000004">
      <c r="B319" s="3" t="s">
        <v>246</v>
      </c>
      <c r="C319" s="4" t="s">
        <v>166</v>
      </c>
      <c r="D319" s="11">
        <v>43182</v>
      </c>
      <c r="E319" s="5">
        <v>2</v>
      </c>
      <c r="F319" s="5">
        <f t="shared" si="459"/>
        <v>1066.6600000000001</v>
      </c>
      <c r="G319" s="5">
        <f>+BU319</f>
        <v>702.6</v>
      </c>
      <c r="H319" s="41">
        <f>+F319+G319</f>
        <v>1769.2600000000002</v>
      </c>
      <c r="I319" s="73">
        <v>13</v>
      </c>
      <c r="J319" s="82"/>
      <c r="K319" s="7"/>
      <c r="L319" s="25">
        <v>45374</v>
      </c>
      <c r="M319" s="7"/>
      <c r="N319" s="46" t="s">
        <v>302</v>
      </c>
      <c r="Z319" s="3" t="s">
        <v>246</v>
      </c>
      <c r="AA319" s="34">
        <v>0</v>
      </c>
      <c r="AB319" s="34">
        <v>0</v>
      </c>
      <c r="AC319" s="35">
        <v>0</v>
      </c>
      <c r="AD319" s="35">
        <v>96</v>
      </c>
      <c r="AE319" s="35">
        <v>108</v>
      </c>
      <c r="AF319" s="24">
        <v>108</v>
      </c>
      <c r="AG319" s="21">
        <f t="shared" si="455"/>
        <v>0</v>
      </c>
      <c r="AH319" s="42">
        <v>0</v>
      </c>
      <c r="AI319" s="42">
        <f>+(0)+(132.6)+(0)+(0)+(78)+(108)</f>
        <v>318.60000000000002</v>
      </c>
      <c r="AJ319" s="35">
        <v>150</v>
      </c>
      <c r="AK319" s="17">
        <f t="shared" si="456"/>
        <v>168.60000000000002</v>
      </c>
      <c r="AL319" s="42">
        <f t="shared" si="201"/>
        <v>0</v>
      </c>
      <c r="AM319" s="42">
        <f>+(0)+(96)+(0)+(0)+(0)+(0)</f>
        <v>96</v>
      </c>
      <c r="AN319" s="35">
        <v>150</v>
      </c>
      <c r="AO319" s="24">
        <f t="shared" si="457"/>
        <v>114.60000000000002</v>
      </c>
      <c r="AP319" s="42">
        <f>+(0)+(0)+(84)+(0)+(0)+(0)</f>
        <v>84</v>
      </c>
      <c r="AQ319" s="42">
        <f t="shared" si="184"/>
        <v>0</v>
      </c>
      <c r="AR319" s="68">
        <v>150</v>
      </c>
      <c r="AS319" s="71">
        <f t="shared" si="458"/>
        <v>48.600000000000023</v>
      </c>
      <c r="AT319" s="60">
        <f t="shared" si="185"/>
        <v>0</v>
      </c>
      <c r="AU319" s="60">
        <f t="shared" si="185"/>
        <v>0</v>
      </c>
      <c r="AV319" s="68">
        <v>48.6</v>
      </c>
      <c r="AW319" s="72">
        <f t="shared" si="463"/>
        <v>0</v>
      </c>
      <c r="AX319" s="78"/>
      <c r="AY319" s="78"/>
      <c r="AZ319" s="77"/>
      <c r="BA319" s="78"/>
      <c r="BB319" s="129"/>
      <c r="BC319" s="129"/>
      <c r="BD319" s="129"/>
      <c r="BE319" s="129"/>
      <c r="BF319" s="129"/>
      <c r="BG319" s="129"/>
      <c r="BH319" s="129"/>
      <c r="BI319" s="129"/>
      <c r="BJ319" s="129"/>
      <c r="BK319" s="129"/>
      <c r="BL319" s="129"/>
      <c r="BM319" s="129"/>
      <c r="BN319" s="129"/>
      <c r="BO319" s="129"/>
      <c r="BP319" s="129"/>
      <c r="BQ319" s="129"/>
      <c r="BR319" s="129"/>
      <c r="BS319" s="129"/>
      <c r="BT319" s="129"/>
      <c r="BU319" s="18">
        <f t="shared" si="464"/>
        <v>702.6</v>
      </c>
    </row>
    <row r="320" spans="2:73" ht="22.8" thickBot="1" x14ac:dyDescent="0.55000000000000004">
      <c r="B320" s="3" t="s">
        <v>51</v>
      </c>
      <c r="C320" s="4" t="s">
        <v>162</v>
      </c>
      <c r="D320" s="3" t="s">
        <v>131</v>
      </c>
      <c r="E320" s="5">
        <v>15</v>
      </c>
      <c r="F320" s="5">
        <f t="shared" si="459"/>
        <v>7999.9500000000007</v>
      </c>
      <c r="G320" s="5">
        <f>+BU320</f>
        <v>2614.6999999999998</v>
      </c>
      <c r="H320" s="41">
        <f>+F320+G320</f>
        <v>10614.650000000001</v>
      </c>
      <c r="I320" s="73">
        <v>2</v>
      </c>
      <c r="J320" s="82">
        <v>2</v>
      </c>
      <c r="K320" s="7"/>
      <c r="L320" s="25"/>
      <c r="M320" s="7"/>
      <c r="N320" s="46" t="s">
        <v>302</v>
      </c>
      <c r="Z320" s="3" t="s">
        <v>51</v>
      </c>
      <c r="AA320" s="36">
        <v>1941.5</v>
      </c>
      <c r="AB320" s="34">
        <v>96</v>
      </c>
      <c r="AC320" s="35">
        <v>108</v>
      </c>
      <c r="AD320" s="35">
        <v>120</v>
      </c>
      <c r="AE320" s="35">
        <v>78</v>
      </c>
      <c r="AF320" s="24">
        <v>78</v>
      </c>
      <c r="AG320" s="21">
        <f>+AF320-AE320</f>
        <v>0</v>
      </c>
      <c r="AH320" s="42">
        <v>108.6</v>
      </c>
      <c r="AI320" s="42">
        <f>+(0)+(54.6)+(0)+(0)+(54)+(54)</f>
        <v>162.6</v>
      </c>
      <c r="AJ320" s="35">
        <v>120</v>
      </c>
      <c r="AK320" s="17">
        <f>+AG320+(AH320+AI320)-AJ320</f>
        <v>151.19999999999999</v>
      </c>
      <c r="AL320" s="42">
        <f t="shared" si="201"/>
        <v>0</v>
      </c>
      <c r="AM320" s="42">
        <f t="shared" si="201"/>
        <v>0</v>
      </c>
      <c r="AN320" s="35">
        <v>120</v>
      </c>
      <c r="AO320" s="24">
        <f>+AK320+AL320+AM320-AN320</f>
        <v>31.199999999999989</v>
      </c>
      <c r="AP320" s="42">
        <f t="shared" si="184"/>
        <v>0</v>
      </c>
      <c r="AQ320" s="42">
        <f t="shared" si="184"/>
        <v>0</v>
      </c>
      <c r="AR320" s="68">
        <v>31.2</v>
      </c>
      <c r="AS320" s="71">
        <f>+AO320+AP320+AQ320-AR320</f>
        <v>0</v>
      </c>
      <c r="AT320" s="60">
        <f t="shared" si="185"/>
        <v>0</v>
      </c>
      <c r="AU320" s="60">
        <f t="shared" si="185"/>
        <v>0</v>
      </c>
      <c r="AV320" s="68">
        <v>0</v>
      </c>
      <c r="AW320" s="72">
        <f t="shared" si="463"/>
        <v>0</v>
      </c>
      <c r="AX320" s="78"/>
      <c r="AY320" s="78"/>
      <c r="AZ320" s="77"/>
      <c r="BA320" s="78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8">
        <f t="shared" si="464"/>
        <v>2614.6999999999998</v>
      </c>
    </row>
    <row r="321" spans="2:73" ht="22.8" thickBot="1" x14ac:dyDescent="0.55000000000000004">
      <c r="B321" s="3" t="s">
        <v>79</v>
      </c>
      <c r="C321" s="4" t="s">
        <v>162</v>
      </c>
      <c r="D321" s="3" t="s">
        <v>152</v>
      </c>
      <c r="E321" s="5">
        <v>14</v>
      </c>
      <c r="F321" s="5">
        <f t="shared" si="459"/>
        <v>7466.6200000000008</v>
      </c>
      <c r="G321" s="5">
        <f>+BU321</f>
        <v>2517</v>
      </c>
      <c r="H321" s="41">
        <f>+F321+G321</f>
        <v>9983.6200000000008</v>
      </c>
      <c r="I321" s="73">
        <v>2</v>
      </c>
      <c r="J321" s="82">
        <v>2</v>
      </c>
      <c r="K321" s="7"/>
      <c r="L321" s="25">
        <v>45333</v>
      </c>
      <c r="M321" s="7"/>
      <c r="N321" s="46" t="s">
        <v>302</v>
      </c>
      <c r="Z321" s="3" t="s">
        <v>79</v>
      </c>
      <c r="AA321" s="36">
        <v>1755</v>
      </c>
      <c r="AB321" s="34">
        <v>120</v>
      </c>
      <c r="AC321" s="35">
        <v>96</v>
      </c>
      <c r="AD321" s="35">
        <v>120</v>
      </c>
      <c r="AE321" s="35">
        <v>120</v>
      </c>
      <c r="AF321" s="24">
        <v>156</v>
      </c>
      <c r="AG321" s="21">
        <f>+AF321-AE321</f>
        <v>36</v>
      </c>
      <c r="AH321" s="42">
        <v>186</v>
      </c>
      <c r="AI321" s="42">
        <f>+(54)+(0)+(0)+(0)+(0)+(0)</f>
        <v>54</v>
      </c>
      <c r="AJ321" s="35">
        <v>120</v>
      </c>
      <c r="AK321" s="17">
        <f>+AG321+(AH321+AI321)-AJ321</f>
        <v>156</v>
      </c>
      <c r="AL321" s="42">
        <f t="shared" si="201"/>
        <v>0</v>
      </c>
      <c r="AM321" s="42">
        <f>+(0)+(0)+(0)+(0)+(0)+(30)</f>
        <v>30</v>
      </c>
      <c r="AN321" s="35">
        <v>120</v>
      </c>
      <c r="AO321" s="24">
        <f>+AK321+AL321+AM321-AN321</f>
        <v>66</v>
      </c>
      <c r="AP321" s="42">
        <f t="shared" si="310"/>
        <v>0</v>
      </c>
      <c r="AQ321" s="42">
        <f t="shared" si="310"/>
        <v>0</v>
      </c>
      <c r="AR321" s="68">
        <v>66</v>
      </c>
      <c r="AS321" s="71">
        <f>+AO321+AP321+AQ321-AR321</f>
        <v>0</v>
      </c>
      <c r="AT321" s="60">
        <f t="shared" si="311"/>
        <v>0</v>
      </c>
      <c r="AU321" s="60">
        <f t="shared" si="311"/>
        <v>0</v>
      </c>
      <c r="AV321" s="68">
        <v>0</v>
      </c>
      <c r="AW321" s="72">
        <f t="shared" si="463"/>
        <v>0</v>
      </c>
      <c r="AX321" s="78"/>
      <c r="AY321" s="78"/>
      <c r="AZ321" s="77"/>
      <c r="BA321" s="78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8">
        <f t="shared" si="464"/>
        <v>2517</v>
      </c>
    </row>
    <row r="322" spans="2:73" ht="22.8" thickBot="1" x14ac:dyDescent="0.55000000000000004">
      <c r="B322" s="3" t="s">
        <v>398</v>
      </c>
      <c r="C322" s="4" t="s">
        <v>164</v>
      </c>
      <c r="D322" s="11">
        <v>44994</v>
      </c>
      <c r="E322" s="5">
        <v>0</v>
      </c>
      <c r="F322" s="5">
        <f t="shared" ref="F322:F323" si="465">+E322*$C$1</f>
        <v>0</v>
      </c>
      <c r="G322" s="5">
        <f t="shared" ref="G322:G323" si="466">+BU322</f>
        <v>0</v>
      </c>
      <c r="H322" s="41">
        <f t="shared" ref="H322:H323" si="467">+F322+G322</f>
        <v>0</v>
      </c>
      <c r="I322" s="73">
        <v>15</v>
      </c>
      <c r="J322" s="82">
        <v>15</v>
      </c>
      <c r="K322" s="7"/>
      <c r="L322" s="25">
        <v>45725</v>
      </c>
      <c r="M322" s="7"/>
      <c r="N322" s="46" t="s">
        <v>302</v>
      </c>
      <c r="Z322" s="3" t="s">
        <v>398</v>
      </c>
      <c r="AA322" s="36">
        <v>0</v>
      </c>
      <c r="AB322" s="34">
        <v>0</v>
      </c>
      <c r="AC322" s="35">
        <v>0</v>
      </c>
      <c r="AD322" s="35">
        <v>0</v>
      </c>
      <c r="AE322" s="35">
        <v>0</v>
      </c>
      <c r="AF322" s="24">
        <v>0</v>
      </c>
      <c r="AG322" s="21">
        <f>+AF322-AE322</f>
        <v>0</v>
      </c>
      <c r="AH322" s="42">
        <v>0</v>
      </c>
      <c r="AI322" s="42">
        <v>0</v>
      </c>
      <c r="AJ322" s="35">
        <v>0</v>
      </c>
      <c r="AK322" s="17">
        <f>+AG322+(AH322+AI322)-AJ322</f>
        <v>0</v>
      </c>
      <c r="AL322" s="42">
        <v>0</v>
      </c>
      <c r="AM322" s="42">
        <v>0</v>
      </c>
      <c r="AN322" s="35">
        <v>0</v>
      </c>
      <c r="AO322" s="24">
        <f>+AK322+AL322+AM322-AN322</f>
        <v>0</v>
      </c>
      <c r="AP322" s="42">
        <v>0</v>
      </c>
      <c r="AQ322" s="42">
        <v>0</v>
      </c>
      <c r="AR322" s="68">
        <v>0</v>
      </c>
      <c r="AS322" s="71">
        <f>+AO322+AP322+AQ322-AR322</f>
        <v>0</v>
      </c>
      <c r="AT322" s="60">
        <f t="shared" si="15"/>
        <v>0</v>
      </c>
      <c r="AU322" s="60">
        <f t="shared" si="15"/>
        <v>0</v>
      </c>
      <c r="AV322" s="68">
        <v>0</v>
      </c>
      <c r="AW322" s="72">
        <f t="shared" si="463"/>
        <v>0</v>
      </c>
      <c r="AX322" s="78"/>
      <c r="AY322" s="78"/>
      <c r="AZ322" s="77"/>
      <c r="BA322" s="78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8">
        <f t="shared" si="464"/>
        <v>0</v>
      </c>
    </row>
    <row r="323" spans="2:73" ht="22.8" thickBot="1" x14ac:dyDescent="0.55000000000000004">
      <c r="B323" s="3" t="s">
        <v>393</v>
      </c>
      <c r="C323" s="4" t="s">
        <v>165</v>
      </c>
      <c r="D323" s="11">
        <v>44958</v>
      </c>
      <c r="E323" s="5">
        <v>0</v>
      </c>
      <c r="F323" s="5">
        <f t="shared" si="465"/>
        <v>0</v>
      </c>
      <c r="G323" s="5">
        <f t="shared" si="466"/>
        <v>0</v>
      </c>
      <c r="H323" s="41">
        <f t="shared" si="467"/>
        <v>0</v>
      </c>
      <c r="I323" s="73">
        <v>15</v>
      </c>
      <c r="J323" s="92">
        <v>15</v>
      </c>
      <c r="K323" s="7"/>
      <c r="L323" s="25">
        <v>45689</v>
      </c>
      <c r="M323" s="7"/>
      <c r="N323" s="46" t="s">
        <v>302</v>
      </c>
      <c r="Z323" s="3" t="s">
        <v>393</v>
      </c>
      <c r="AA323" s="34">
        <v>0</v>
      </c>
      <c r="AB323" s="34">
        <v>0</v>
      </c>
      <c r="AC323" s="35">
        <v>0</v>
      </c>
      <c r="AD323" s="35">
        <v>0</v>
      </c>
      <c r="AE323" s="35">
        <v>0</v>
      </c>
      <c r="AF323" s="24">
        <v>0</v>
      </c>
      <c r="AG323" s="21">
        <f t="shared" ref="AG323" si="468">+AF323-AE323</f>
        <v>0</v>
      </c>
      <c r="AH323" s="42">
        <v>0</v>
      </c>
      <c r="AI323" s="42">
        <v>0</v>
      </c>
      <c r="AJ323" s="35">
        <v>0</v>
      </c>
      <c r="AK323" s="17">
        <f t="shared" ref="AK323" si="469">+AG323+(AH323+AI323)-AJ323</f>
        <v>0</v>
      </c>
      <c r="AL323" s="42">
        <v>0</v>
      </c>
      <c r="AM323" s="42">
        <v>0</v>
      </c>
      <c r="AN323" s="35">
        <v>0</v>
      </c>
      <c r="AO323" s="24">
        <f t="shared" ref="AO323" si="470">+AK323+AL323+AM323-AN323</f>
        <v>0</v>
      </c>
      <c r="AP323" s="42">
        <v>0</v>
      </c>
      <c r="AQ323" s="42">
        <v>0</v>
      </c>
      <c r="AR323" s="68">
        <v>0</v>
      </c>
      <c r="AS323" s="71">
        <f t="shared" ref="AS323" si="471">+AO323+AP323+AQ323-AR323</f>
        <v>0</v>
      </c>
      <c r="AT323" s="60">
        <f t="shared" ref="AT323:AU323" si="472">+(0)+(0)+(0)+(0)+(0)+(0)</f>
        <v>0</v>
      </c>
      <c r="AU323" s="60">
        <f t="shared" si="472"/>
        <v>0</v>
      </c>
      <c r="AV323" s="68">
        <v>0</v>
      </c>
      <c r="AW323" s="72">
        <f t="shared" si="463"/>
        <v>0</v>
      </c>
      <c r="AX323" s="78"/>
      <c r="AY323" s="78"/>
      <c r="AZ323" s="77"/>
      <c r="BA323" s="78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8">
        <f t="shared" si="464"/>
        <v>0</v>
      </c>
    </row>
    <row r="324" spans="2:73" ht="22.8" thickBot="1" x14ac:dyDescent="0.55000000000000004">
      <c r="B324" s="3" t="s">
        <v>258</v>
      </c>
      <c r="C324" s="4" t="s">
        <v>164</v>
      </c>
      <c r="D324" s="11">
        <v>43591</v>
      </c>
      <c r="E324" s="5">
        <v>2</v>
      </c>
      <c r="F324" s="5">
        <f>+E324*$C$1</f>
        <v>1066.6600000000001</v>
      </c>
      <c r="G324" s="5">
        <f>+BU324</f>
        <v>411</v>
      </c>
      <c r="H324" s="41">
        <f>+F324+G324</f>
        <v>1477.66</v>
      </c>
      <c r="I324" s="73">
        <v>14</v>
      </c>
      <c r="J324" s="82">
        <v>14</v>
      </c>
      <c r="K324" s="62" t="s">
        <v>300</v>
      </c>
      <c r="L324" s="25">
        <v>45052</v>
      </c>
      <c r="M324" s="7"/>
      <c r="N324" s="46" t="s">
        <v>302</v>
      </c>
      <c r="Z324" s="3" t="s">
        <v>258</v>
      </c>
      <c r="AA324" s="34">
        <v>0</v>
      </c>
      <c r="AB324" s="34">
        <v>0</v>
      </c>
      <c r="AC324" s="35">
        <v>0</v>
      </c>
      <c r="AD324" s="35">
        <v>0</v>
      </c>
      <c r="AE324" s="35">
        <v>0</v>
      </c>
      <c r="AF324" s="24">
        <v>0</v>
      </c>
      <c r="AG324" s="21">
        <f t="shared" ref="AG324:AG329" si="473">+AF324-AE324</f>
        <v>0</v>
      </c>
      <c r="AH324" s="42">
        <v>132</v>
      </c>
      <c r="AI324" s="42">
        <f>+(0)+(0)+(0)+(0)+(54)+(108)</f>
        <v>162</v>
      </c>
      <c r="AJ324" s="35">
        <v>120</v>
      </c>
      <c r="AK324" s="17">
        <f t="shared" ref="AK324:AK329" si="474">+AG324+(AH324+AI324)-AJ324</f>
        <v>174</v>
      </c>
      <c r="AL324" s="42">
        <f t="shared" si="201"/>
        <v>0</v>
      </c>
      <c r="AM324" s="42">
        <f t="shared" si="201"/>
        <v>0</v>
      </c>
      <c r="AN324" s="35">
        <v>120</v>
      </c>
      <c r="AO324" s="24">
        <f t="shared" ref="AO324:AO329" si="475">+AK324+AL324+AM324-AN324</f>
        <v>54</v>
      </c>
      <c r="AP324" s="42">
        <f t="shared" si="184"/>
        <v>0</v>
      </c>
      <c r="AQ324" s="42">
        <f>+(0)+(0)+(0)+(0)+(0)+(117)</f>
        <v>117</v>
      </c>
      <c r="AR324" s="68">
        <v>120</v>
      </c>
      <c r="AS324" s="71">
        <f t="shared" ref="AS324:AS329" si="476">+AO324+AP324+AQ324-AR324</f>
        <v>51</v>
      </c>
      <c r="AT324" s="60">
        <f t="shared" si="185"/>
        <v>0</v>
      </c>
      <c r="AU324" s="60">
        <f t="shared" si="185"/>
        <v>0</v>
      </c>
      <c r="AV324" s="68">
        <v>51</v>
      </c>
      <c r="AW324" s="72">
        <f t="shared" ref="AW324:AW329" si="477">+AS324+AT324+AU324-AV324</f>
        <v>0</v>
      </c>
      <c r="AX324" s="78"/>
      <c r="AY324" s="78"/>
      <c r="AZ324" s="77"/>
      <c r="BA324" s="78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8">
        <f t="shared" si="464"/>
        <v>411</v>
      </c>
    </row>
    <row r="325" spans="2:73" ht="22.8" thickBot="1" x14ac:dyDescent="0.55000000000000004">
      <c r="B325" s="3" t="s">
        <v>392</v>
      </c>
      <c r="C325" s="4" t="s">
        <v>168</v>
      </c>
      <c r="D325" s="11">
        <v>44953</v>
      </c>
      <c r="E325" s="5">
        <v>0</v>
      </c>
      <c r="F325" s="5">
        <f t="shared" ref="F325" si="478">+E325*$C$1</f>
        <v>0</v>
      </c>
      <c r="G325" s="5">
        <f t="shared" ref="G325" si="479">+BU325</f>
        <v>0</v>
      </c>
      <c r="H325" s="41">
        <f t="shared" ref="H325" si="480">+F325+G325</f>
        <v>0</v>
      </c>
      <c r="I325" s="73">
        <v>15</v>
      </c>
      <c r="J325" s="82"/>
      <c r="K325" s="7"/>
      <c r="L325" s="25">
        <v>45684</v>
      </c>
      <c r="M325" s="7"/>
      <c r="N325" s="46" t="s">
        <v>302</v>
      </c>
      <c r="Z325" s="3" t="s">
        <v>392</v>
      </c>
      <c r="AA325" s="34">
        <v>0</v>
      </c>
      <c r="AB325" s="34">
        <v>0</v>
      </c>
      <c r="AC325" s="35">
        <v>0</v>
      </c>
      <c r="AD325" s="35">
        <v>0</v>
      </c>
      <c r="AE325" s="35">
        <v>0</v>
      </c>
      <c r="AF325" s="24">
        <v>0</v>
      </c>
      <c r="AG325" s="21">
        <f t="shared" si="473"/>
        <v>0</v>
      </c>
      <c r="AH325" s="42">
        <v>0</v>
      </c>
      <c r="AI325" s="42">
        <v>0</v>
      </c>
      <c r="AJ325" s="35">
        <v>0</v>
      </c>
      <c r="AK325" s="17">
        <f t="shared" si="474"/>
        <v>0</v>
      </c>
      <c r="AL325" s="42">
        <v>0</v>
      </c>
      <c r="AM325" s="42">
        <v>0</v>
      </c>
      <c r="AN325" s="35">
        <v>0</v>
      </c>
      <c r="AO325" s="24">
        <f t="shared" si="475"/>
        <v>0</v>
      </c>
      <c r="AP325" s="42">
        <v>0</v>
      </c>
      <c r="AQ325" s="42">
        <v>0</v>
      </c>
      <c r="AR325" s="68">
        <v>0</v>
      </c>
      <c r="AS325" s="71">
        <f t="shared" si="476"/>
        <v>0</v>
      </c>
      <c r="AT325" s="60">
        <f t="shared" si="185"/>
        <v>0</v>
      </c>
      <c r="AU325" s="60">
        <f t="shared" si="185"/>
        <v>0</v>
      </c>
      <c r="AV325" s="68">
        <v>0</v>
      </c>
      <c r="AW325" s="72">
        <f t="shared" si="477"/>
        <v>0</v>
      </c>
      <c r="AX325" s="78"/>
      <c r="AY325" s="78"/>
      <c r="AZ325" s="77"/>
      <c r="BA325" s="78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8">
        <f t="shared" si="464"/>
        <v>0</v>
      </c>
    </row>
    <row r="326" spans="2:73" ht="22.8" thickBot="1" x14ac:dyDescent="0.55000000000000004">
      <c r="B326" s="3" t="s">
        <v>374</v>
      </c>
      <c r="C326" s="4" t="s">
        <v>165</v>
      </c>
      <c r="D326" s="3"/>
      <c r="E326" s="5"/>
      <c r="F326" s="5"/>
      <c r="G326" s="5">
        <f>+BU326</f>
        <v>0</v>
      </c>
      <c r="H326" s="41">
        <f>+F326+G326</f>
        <v>0</v>
      </c>
      <c r="I326" s="73">
        <v>15</v>
      </c>
      <c r="J326" s="82"/>
      <c r="K326" s="7"/>
      <c r="L326" s="25"/>
      <c r="M326" s="7"/>
      <c r="N326" s="46" t="s">
        <v>302</v>
      </c>
      <c r="Z326" s="3" t="s">
        <v>374</v>
      </c>
      <c r="AA326" s="34">
        <v>0</v>
      </c>
      <c r="AB326" s="34">
        <v>0</v>
      </c>
      <c r="AC326" s="35">
        <v>0</v>
      </c>
      <c r="AD326" s="35">
        <v>0</v>
      </c>
      <c r="AE326" s="35">
        <v>0</v>
      </c>
      <c r="AF326" s="24">
        <v>0</v>
      </c>
      <c r="AG326" s="21">
        <f t="shared" si="473"/>
        <v>0</v>
      </c>
      <c r="AH326" s="42">
        <v>0</v>
      </c>
      <c r="AI326" s="42">
        <v>0</v>
      </c>
      <c r="AJ326" s="35">
        <v>0</v>
      </c>
      <c r="AK326" s="17">
        <f t="shared" si="474"/>
        <v>0</v>
      </c>
      <c r="AL326" s="42">
        <v>0</v>
      </c>
      <c r="AM326" s="42">
        <v>0</v>
      </c>
      <c r="AN326" s="35">
        <v>0</v>
      </c>
      <c r="AO326" s="24">
        <f t="shared" si="475"/>
        <v>0</v>
      </c>
      <c r="AP326" s="42">
        <v>0</v>
      </c>
      <c r="AQ326" s="42">
        <v>0</v>
      </c>
      <c r="AR326" s="68">
        <v>0</v>
      </c>
      <c r="AS326" s="71">
        <f t="shared" si="476"/>
        <v>0</v>
      </c>
      <c r="AT326" s="60">
        <f t="shared" si="185"/>
        <v>0</v>
      </c>
      <c r="AU326" s="60">
        <f t="shared" si="185"/>
        <v>0</v>
      </c>
      <c r="AV326" s="68">
        <v>0</v>
      </c>
      <c r="AW326" s="72">
        <f t="shared" si="477"/>
        <v>0</v>
      </c>
      <c r="AX326" s="78"/>
      <c r="AY326" s="78"/>
      <c r="AZ326" s="77"/>
      <c r="BA326" s="78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8">
        <f t="shared" si="464"/>
        <v>0</v>
      </c>
    </row>
    <row r="327" spans="2:73" ht="22.8" thickBot="1" x14ac:dyDescent="0.55000000000000004">
      <c r="B327" s="3" t="s">
        <v>278</v>
      </c>
      <c r="C327" s="4" t="s">
        <v>166</v>
      </c>
      <c r="D327" s="11">
        <v>43412</v>
      </c>
      <c r="E327" s="5">
        <v>2</v>
      </c>
      <c r="F327" s="5">
        <f t="shared" ref="F327:F333" si="481">+E327*$C$1</f>
        <v>1066.6600000000001</v>
      </c>
      <c r="G327" s="5">
        <f>+BU327</f>
        <v>505.2</v>
      </c>
      <c r="H327" s="41">
        <f>+F327+G327</f>
        <v>1571.8600000000001</v>
      </c>
      <c r="I327" s="73">
        <v>14</v>
      </c>
      <c r="J327" s="82"/>
      <c r="K327" s="7"/>
      <c r="L327" s="25">
        <v>45604</v>
      </c>
      <c r="M327" s="7"/>
      <c r="N327" s="46" t="s">
        <v>302</v>
      </c>
      <c r="Z327" s="3" t="s">
        <v>279</v>
      </c>
      <c r="AA327" s="36">
        <v>0</v>
      </c>
      <c r="AB327" s="34">
        <v>0</v>
      </c>
      <c r="AC327" s="35">
        <v>0</v>
      </c>
      <c r="AD327" s="35">
        <v>0</v>
      </c>
      <c r="AE327" s="35">
        <v>78</v>
      </c>
      <c r="AF327" s="24">
        <v>78</v>
      </c>
      <c r="AG327" s="21">
        <f t="shared" si="473"/>
        <v>0</v>
      </c>
      <c r="AH327" s="42">
        <v>54</v>
      </c>
      <c r="AI327" s="42">
        <f>+(0)+(0)+(60)+(0)+(0)+(108)</f>
        <v>168</v>
      </c>
      <c r="AJ327" s="35">
        <v>150</v>
      </c>
      <c r="AK327" s="17">
        <f t="shared" si="474"/>
        <v>72</v>
      </c>
      <c r="AL327" s="42">
        <f>+(0)+(0)+(0)+(0)+(0)+(0)</f>
        <v>0</v>
      </c>
      <c r="AM327" s="42">
        <f>+(109.2)+(0)+(0)+(0)+(0)+(0)</f>
        <v>109.2</v>
      </c>
      <c r="AN327" s="35">
        <v>150</v>
      </c>
      <c r="AO327" s="24">
        <f t="shared" si="475"/>
        <v>31.199999999999989</v>
      </c>
      <c r="AP327" s="42">
        <f>+(0)+(0)+(0)+(0)+(0)+(0)</f>
        <v>0</v>
      </c>
      <c r="AQ327" s="42">
        <f>+(0)+(0)+(0)+(0)+(0)+(96)</f>
        <v>96</v>
      </c>
      <c r="AR327" s="68">
        <v>127.2</v>
      </c>
      <c r="AS327" s="71">
        <f t="shared" si="476"/>
        <v>0</v>
      </c>
      <c r="AT327" s="60">
        <f t="shared" si="31"/>
        <v>0</v>
      </c>
      <c r="AU327" s="60">
        <f t="shared" si="31"/>
        <v>0</v>
      </c>
      <c r="AV327" s="93">
        <v>0</v>
      </c>
      <c r="AW327" s="78">
        <f t="shared" si="477"/>
        <v>0</v>
      </c>
      <c r="AX327" s="78"/>
      <c r="AY327" s="78"/>
      <c r="AZ327" s="77"/>
      <c r="BA327" s="78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8">
        <f t="shared" si="464"/>
        <v>505.2</v>
      </c>
    </row>
    <row r="328" spans="2:73" ht="22.8" thickBot="1" x14ac:dyDescent="0.55000000000000004">
      <c r="B328" s="3" t="s">
        <v>402</v>
      </c>
      <c r="C328" s="4" t="s">
        <v>165</v>
      </c>
      <c r="D328" s="11">
        <v>45008</v>
      </c>
      <c r="E328" s="5">
        <v>0</v>
      </c>
      <c r="F328" s="5">
        <f t="shared" si="481"/>
        <v>0</v>
      </c>
      <c r="G328" s="5">
        <f>+BU328</f>
        <v>0</v>
      </c>
      <c r="H328" s="41">
        <f>+F328+G328</f>
        <v>0</v>
      </c>
      <c r="I328" s="73">
        <v>15</v>
      </c>
      <c r="J328" s="82"/>
      <c r="K328" s="7"/>
      <c r="L328" s="25">
        <v>45739</v>
      </c>
      <c r="M328" s="7"/>
      <c r="N328" s="46" t="s">
        <v>302</v>
      </c>
      <c r="O328" s="1"/>
      <c r="P328" s="1"/>
      <c r="Q328" s="1"/>
      <c r="R328" s="1"/>
      <c r="S328" s="1"/>
      <c r="T328" s="1"/>
      <c r="U328" s="1"/>
      <c r="V328" s="1"/>
      <c r="W328" s="1"/>
      <c r="Z328" s="3" t="s">
        <v>402</v>
      </c>
      <c r="AA328" s="34">
        <v>0</v>
      </c>
      <c r="AB328" s="34">
        <v>0</v>
      </c>
      <c r="AC328" s="35">
        <v>0</v>
      </c>
      <c r="AD328" s="35">
        <v>0</v>
      </c>
      <c r="AE328" s="35">
        <v>0</v>
      </c>
      <c r="AF328" s="24">
        <v>0</v>
      </c>
      <c r="AG328" s="21">
        <f t="shared" si="473"/>
        <v>0</v>
      </c>
      <c r="AH328" s="42">
        <v>0</v>
      </c>
      <c r="AI328" s="42">
        <v>0</v>
      </c>
      <c r="AJ328" s="35">
        <v>0</v>
      </c>
      <c r="AK328" s="17">
        <f t="shared" si="474"/>
        <v>0</v>
      </c>
      <c r="AL328" s="42">
        <v>0</v>
      </c>
      <c r="AM328" s="42">
        <v>0</v>
      </c>
      <c r="AN328" s="35">
        <v>0</v>
      </c>
      <c r="AO328" s="24">
        <f t="shared" si="475"/>
        <v>0</v>
      </c>
      <c r="AP328" s="42">
        <v>0</v>
      </c>
      <c r="AQ328" s="42">
        <v>0</v>
      </c>
      <c r="AR328" s="68">
        <v>0</v>
      </c>
      <c r="AS328" s="71">
        <f t="shared" si="476"/>
        <v>0</v>
      </c>
      <c r="AT328" s="60">
        <f t="shared" si="185"/>
        <v>0</v>
      </c>
      <c r="AU328" s="60">
        <f t="shared" si="185"/>
        <v>0</v>
      </c>
      <c r="AV328" s="93">
        <v>0</v>
      </c>
      <c r="AW328" s="78">
        <f t="shared" si="477"/>
        <v>0</v>
      </c>
      <c r="AX328" s="78"/>
      <c r="AY328" s="78"/>
      <c r="AZ328" s="77"/>
      <c r="BA328" s="78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8">
        <f t="shared" si="464"/>
        <v>0</v>
      </c>
    </row>
    <row r="329" spans="2:73" ht="22.8" thickBot="1" x14ac:dyDescent="0.55000000000000004">
      <c r="B329" s="3" t="s">
        <v>406</v>
      </c>
      <c r="C329" s="4" t="s">
        <v>164</v>
      </c>
      <c r="D329" s="11">
        <v>45057</v>
      </c>
      <c r="E329" s="5">
        <v>0</v>
      </c>
      <c r="F329" s="5">
        <f t="shared" si="481"/>
        <v>0</v>
      </c>
      <c r="G329" s="5">
        <f t="shared" ref="G329" si="482">+BU329</f>
        <v>0</v>
      </c>
      <c r="H329" s="41">
        <f t="shared" ref="H329" si="483">+F329+G329</f>
        <v>0</v>
      </c>
      <c r="I329" s="73">
        <v>15</v>
      </c>
      <c r="J329" s="82"/>
      <c r="K329" s="7"/>
      <c r="L329" s="25">
        <v>45788</v>
      </c>
      <c r="M329" s="7"/>
      <c r="N329" s="46" t="s">
        <v>302</v>
      </c>
      <c r="O329" s="1"/>
      <c r="P329" s="1"/>
      <c r="Q329" s="1"/>
      <c r="R329" s="1"/>
      <c r="S329" s="1"/>
      <c r="T329" s="1"/>
      <c r="U329" s="1"/>
      <c r="V329" s="1"/>
      <c r="W329" s="1"/>
      <c r="Z329" s="3" t="s">
        <v>406</v>
      </c>
      <c r="AA329" s="36">
        <v>0</v>
      </c>
      <c r="AB329" s="34">
        <v>0</v>
      </c>
      <c r="AC329" s="35">
        <v>0</v>
      </c>
      <c r="AD329" s="35">
        <v>0</v>
      </c>
      <c r="AE329" s="35">
        <v>0</v>
      </c>
      <c r="AF329" s="24">
        <v>0</v>
      </c>
      <c r="AG329" s="21">
        <f t="shared" si="473"/>
        <v>0</v>
      </c>
      <c r="AH329" s="42">
        <v>0</v>
      </c>
      <c r="AI329" s="42">
        <v>0</v>
      </c>
      <c r="AJ329" s="35">
        <v>0</v>
      </c>
      <c r="AK329" s="17">
        <f t="shared" si="474"/>
        <v>0</v>
      </c>
      <c r="AL329" s="42">
        <v>0</v>
      </c>
      <c r="AM329" s="42">
        <v>0</v>
      </c>
      <c r="AN329" s="35">
        <v>0</v>
      </c>
      <c r="AO329" s="24">
        <f t="shared" si="475"/>
        <v>0</v>
      </c>
      <c r="AP329" s="42">
        <v>0</v>
      </c>
      <c r="AQ329" s="42">
        <v>0</v>
      </c>
      <c r="AR329" s="68">
        <v>0</v>
      </c>
      <c r="AS329" s="71">
        <f t="shared" si="476"/>
        <v>0</v>
      </c>
      <c r="AT329" s="60">
        <f t="shared" si="185"/>
        <v>0</v>
      </c>
      <c r="AU329" s="60">
        <f t="shared" si="185"/>
        <v>0</v>
      </c>
      <c r="AV329" s="93">
        <v>0</v>
      </c>
      <c r="AW329" s="78">
        <f t="shared" si="477"/>
        <v>0</v>
      </c>
      <c r="AX329" s="78"/>
      <c r="AY329" s="78"/>
      <c r="AZ329" s="77"/>
      <c r="BA329" s="78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8">
        <f t="shared" si="464"/>
        <v>0</v>
      </c>
    </row>
    <row r="330" spans="2:73" ht="22.8" thickBot="1" x14ac:dyDescent="0.55000000000000004">
      <c r="B330" s="3" t="s">
        <v>411</v>
      </c>
      <c r="C330" s="4" t="s">
        <v>164</v>
      </c>
      <c r="D330" s="10">
        <v>45135</v>
      </c>
      <c r="E330" s="5">
        <v>0</v>
      </c>
      <c r="F330" s="5">
        <f t="shared" si="481"/>
        <v>0</v>
      </c>
      <c r="G330" s="5">
        <f t="shared" ref="G330" si="484">+BU330</f>
        <v>0</v>
      </c>
      <c r="H330" s="41">
        <f t="shared" ref="H330" si="485">+F330+G330</f>
        <v>0</v>
      </c>
      <c r="I330" s="73">
        <v>15</v>
      </c>
      <c r="J330" s="82"/>
      <c r="K330" s="7"/>
      <c r="L330" s="25">
        <v>45866</v>
      </c>
      <c r="M330" s="7"/>
      <c r="N330" s="46" t="s">
        <v>302</v>
      </c>
      <c r="Z330" s="3" t="s">
        <v>411</v>
      </c>
      <c r="AA330" s="36">
        <v>0</v>
      </c>
      <c r="AB330" s="34">
        <v>0</v>
      </c>
      <c r="AC330" s="35">
        <v>0</v>
      </c>
      <c r="AD330" s="35">
        <v>0</v>
      </c>
      <c r="AE330" s="35">
        <v>0</v>
      </c>
      <c r="AF330" s="24">
        <v>0</v>
      </c>
      <c r="AG330" s="21">
        <f t="shared" ref="AG330:AG335" si="486">+AF330-AE330</f>
        <v>0</v>
      </c>
      <c r="AH330" s="42">
        <v>0</v>
      </c>
      <c r="AI330" s="42">
        <v>0</v>
      </c>
      <c r="AJ330" s="35">
        <v>0</v>
      </c>
      <c r="AK330" s="17">
        <f t="shared" ref="AK330:AK335" si="487">+AG330+(AH330+AI330)-AJ330</f>
        <v>0</v>
      </c>
      <c r="AL330" s="42">
        <v>0</v>
      </c>
      <c r="AM330" s="42">
        <v>0</v>
      </c>
      <c r="AN330" s="35">
        <v>0</v>
      </c>
      <c r="AO330" s="24">
        <f t="shared" ref="AO330:AO335" si="488">+AK330+AL330+AM330-AN330</f>
        <v>0</v>
      </c>
      <c r="AP330" s="42">
        <v>0</v>
      </c>
      <c r="AQ330" s="42">
        <v>0</v>
      </c>
      <c r="AR330" s="68">
        <v>0</v>
      </c>
      <c r="AS330" s="71">
        <f t="shared" ref="AS330:AS335" si="489">+AO330+AP330+AQ330-AR330</f>
        <v>0</v>
      </c>
      <c r="AT330" s="60">
        <f t="shared" si="185"/>
        <v>0</v>
      </c>
      <c r="AU330" s="60">
        <f t="shared" si="185"/>
        <v>0</v>
      </c>
      <c r="AV330" s="94">
        <v>0</v>
      </c>
      <c r="AW330" s="71">
        <f>+AS330+AT330+AU330-AV330</f>
        <v>0</v>
      </c>
      <c r="AX330" s="60">
        <f t="shared" si="207"/>
        <v>0</v>
      </c>
      <c r="AY330" s="60">
        <f t="shared" si="207"/>
        <v>0</v>
      </c>
      <c r="AZ330" s="72">
        <v>0</v>
      </c>
      <c r="BA330" s="78">
        <f>(+AW330+AX330+AY330)-AZ330</f>
        <v>0</v>
      </c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95">
        <f t="shared" ref="BU330:BU345" si="490">SUM(AA330:AD330)+AE330+AJ330+AN330+AR330+AV330+AZ330</f>
        <v>0</v>
      </c>
    </row>
    <row r="331" spans="2:73" ht="22.8" thickBot="1" x14ac:dyDescent="0.55000000000000004">
      <c r="B331" s="3" t="s">
        <v>410</v>
      </c>
      <c r="C331" s="4" t="s">
        <v>164</v>
      </c>
      <c r="D331" s="11">
        <v>45148</v>
      </c>
      <c r="E331" s="5">
        <v>0</v>
      </c>
      <c r="F331" s="5">
        <f t="shared" si="481"/>
        <v>0</v>
      </c>
      <c r="G331" s="5">
        <f t="shared" ref="G331" si="491">+BU331</f>
        <v>0</v>
      </c>
      <c r="H331" s="41">
        <f t="shared" ref="H331" si="492">+F331+G331</f>
        <v>0</v>
      </c>
      <c r="I331" s="73">
        <v>15</v>
      </c>
      <c r="J331" s="82"/>
      <c r="K331" s="7"/>
      <c r="L331" s="25">
        <v>45879</v>
      </c>
      <c r="M331" s="7"/>
      <c r="N331" s="46" t="s">
        <v>302</v>
      </c>
      <c r="Z331" s="3" t="s">
        <v>410</v>
      </c>
      <c r="AA331" s="34">
        <v>0</v>
      </c>
      <c r="AB331" s="34">
        <v>0</v>
      </c>
      <c r="AC331" s="35">
        <v>0</v>
      </c>
      <c r="AD331" s="35">
        <v>0</v>
      </c>
      <c r="AE331" s="35">
        <v>0</v>
      </c>
      <c r="AF331" s="24">
        <v>0</v>
      </c>
      <c r="AG331" s="21">
        <f t="shared" si="486"/>
        <v>0</v>
      </c>
      <c r="AH331" s="42">
        <v>0</v>
      </c>
      <c r="AI331" s="42">
        <v>0</v>
      </c>
      <c r="AJ331" s="35">
        <v>0</v>
      </c>
      <c r="AK331" s="17">
        <f t="shared" si="487"/>
        <v>0</v>
      </c>
      <c r="AL331" s="42">
        <v>0</v>
      </c>
      <c r="AM331" s="42">
        <v>0</v>
      </c>
      <c r="AN331" s="35">
        <v>0</v>
      </c>
      <c r="AO331" s="24">
        <f t="shared" si="488"/>
        <v>0</v>
      </c>
      <c r="AP331" s="42">
        <v>0</v>
      </c>
      <c r="AQ331" s="42">
        <v>0</v>
      </c>
      <c r="AR331" s="68">
        <v>0</v>
      </c>
      <c r="AS331" s="71">
        <f t="shared" si="489"/>
        <v>0</v>
      </c>
      <c r="AT331" s="60">
        <f t="shared" si="31"/>
        <v>0</v>
      </c>
      <c r="AU331" s="60">
        <f t="shared" si="31"/>
        <v>0</v>
      </c>
      <c r="AV331" s="94">
        <v>0</v>
      </c>
      <c r="AW331" s="71">
        <f>+AS331+AT331+AU331-AV331</f>
        <v>0</v>
      </c>
      <c r="AX331" s="60">
        <f t="shared" si="26"/>
        <v>0</v>
      </c>
      <c r="AY331" s="60">
        <f t="shared" si="26"/>
        <v>0</v>
      </c>
      <c r="AZ331" s="78">
        <v>0</v>
      </c>
      <c r="BA331" s="78">
        <f>(+AW331+AX331+AY331)-AZ331</f>
        <v>0</v>
      </c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95">
        <f t="shared" si="490"/>
        <v>0</v>
      </c>
    </row>
    <row r="332" spans="2:73" ht="22.8" thickBot="1" x14ac:dyDescent="0.55000000000000004">
      <c r="B332" s="3" t="s">
        <v>308</v>
      </c>
      <c r="C332" s="4" t="s">
        <v>166</v>
      </c>
      <c r="D332" s="11">
        <v>44036</v>
      </c>
      <c r="E332" s="5">
        <v>1</v>
      </c>
      <c r="F332" s="5">
        <f t="shared" si="481"/>
        <v>533.33000000000004</v>
      </c>
      <c r="G332" s="5">
        <f>+BU332</f>
        <v>708</v>
      </c>
      <c r="H332" s="41">
        <f>+F332+G332</f>
        <v>1241.33</v>
      </c>
      <c r="I332" s="73">
        <v>14</v>
      </c>
      <c r="J332" s="82"/>
      <c r="K332" s="7"/>
      <c r="L332" s="25">
        <v>45497</v>
      </c>
      <c r="M332" s="7"/>
      <c r="N332" s="46" t="s">
        <v>302</v>
      </c>
      <c r="Z332" s="3" t="s">
        <v>308</v>
      </c>
      <c r="AA332" s="34">
        <v>0</v>
      </c>
      <c r="AB332" s="34">
        <v>0</v>
      </c>
      <c r="AC332" s="35">
        <v>0</v>
      </c>
      <c r="AD332" s="35">
        <v>0</v>
      </c>
      <c r="AE332" s="35">
        <v>0</v>
      </c>
      <c r="AF332" s="24">
        <v>0</v>
      </c>
      <c r="AG332" s="21">
        <f t="shared" si="486"/>
        <v>0</v>
      </c>
      <c r="AH332" s="42">
        <v>0</v>
      </c>
      <c r="AI332" s="42">
        <f>+(0)+(0)+(0)+(0)+(54)+(54)</f>
        <v>108</v>
      </c>
      <c r="AJ332" s="35">
        <v>108</v>
      </c>
      <c r="AK332" s="17">
        <f t="shared" si="487"/>
        <v>0</v>
      </c>
      <c r="AL332" s="42">
        <f t="shared" si="156"/>
        <v>0</v>
      </c>
      <c r="AM332" s="42">
        <f>+(0)+(174)+(0)+(0)+(0)+(67.2)</f>
        <v>241.2</v>
      </c>
      <c r="AN332" s="35">
        <v>150</v>
      </c>
      <c r="AO332" s="65">
        <f t="shared" si="488"/>
        <v>91.199999999999989</v>
      </c>
      <c r="AP332" s="42">
        <f>+(0)+(0)+(0)+(0)+(0)+(120)</f>
        <v>120</v>
      </c>
      <c r="AQ332" s="42">
        <f>+(54.6)+(0)+(187.2)+(0)+(120)+(0)</f>
        <v>361.79999999999995</v>
      </c>
      <c r="AR332" s="68">
        <v>150</v>
      </c>
      <c r="AS332" s="71">
        <f t="shared" si="489"/>
        <v>423</v>
      </c>
      <c r="AT332" s="60">
        <f>+(120)+(0)+(0)+(0)+(54)+(0)</f>
        <v>174</v>
      </c>
      <c r="AU332" s="60">
        <f>+(0)+(174)+(0)+(0)+(0)+(0)</f>
        <v>174</v>
      </c>
      <c r="AV332" s="94">
        <v>150</v>
      </c>
      <c r="AW332" s="71">
        <f>+AS332+AT332+AU332-AV332</f>
        <v>621</v>
      </c>
      <c r="AX332" s="60">
        <f t="shared" si="157"/>
        <v>0</v>
      </c>
      <c r="AY332" s="60">
        <f>+(96)+(0)+(0)+(0)</f>
        <v>96</v>
      </c>
      <c r="AZ332" s="71">
        <v>150</v>
      </c>
      <c r="BA332" s="71">
        <f>(+AW332+AX332+AY332)-AZ332</f>
        <v>567</v>
      </c>
      <c r="BB332" s="124"/>
      <c r="BC332" s="124"/>
      <c r="BD332" s="124"/>
      <c r="BE332" s="124"/>
      <c r="BF332" s="124"/>
      <c r="BG332" s="124"/>
      <c r="BH332" s="124"/>
      <c r="BI332" s="124"/>
      <c r="BJ332" s="124"/>
      <c r="BK332" s="124"/>
      <c r="BL332" s="124"/>
      <c r="BM332" s="124"/>
      <c r="BN332" s="124"/>
      <c r="BO332" s="124"/>
      <c r="BP332" s="124"/>
      <c r="BQ332" s="124"/>
      <c r="BR332" s="124"/>
      <c r="BS332" s="124"/>
      <c r="BT332" s="124"/>
      <c r="BU332" s="95">
        <f t="shared" si="490"/>
        <v>708</v>
      </c>
    </row>
    <row r="333" spans="2:73" ht="22.8" thickBot="1" x14ac:dyDescent="0.55000000000000004">
      <c r="B333" s="3" t="s">
        <v>402</v>
      </c>
      <c r="C333" s="4" t="s">
        <v>165</v>
      </c>
      <c r="D333" s="11">
        <v>45204</v>
      </c>
      <c r="E333" s="5">
        <v>0</v>
      </c>
      <c r="F333" s="5">
        <f t="shared" si="481"/>
        <v>0</v>
      </c>
      <c r="G333" s="5">
        <f t="shared" ref="G333" si="493">+BU333</f>
        <v>0</v>
      </c>
      <c r="H333" s="41">
        <f t="shared" ref="H333" si="494">+F333+G333</f>
        <v>0</v>
      </c>
      <c r="I333" s="73">
        <v>15</v>
      </c>
      <c r="J333" s="82"/>
      <c r="K333" s="7"/>
      <c r="L333" s="25">
        <v>45935</v>
      </c>
      <c r="M333" s="7"/>
      <c r="N333" s="46" t="s">
        <v>302</v>
      </c>
      <c r="O333" s="1"/>
      <c r="P333" s="1"/>
      <c r="Q333" s="1"/>
      <c r="R333" s="1"/>
      <c r="S333" s="1"/>
      <c r="T333" s="1"/>
      <c r="U333" s="1"/>
      <c r="V333" s="1"/>
      <c r="W333" s="1"/>
      <c r="Z333" s="3" t="s">
        <v>402</v>
      </c>
      <c r="AA333" s="34">
        <v>0</v>
      </c>
      <c r="AB333" s="34">
        <v>0</v>
      </c>
      <c r="AC333" s="35">
        <v>0</v>
      </c>
      <c r="AD333" s="35">
        <v>0</v>
      </c>
      <c r="AE333" s="35">
        <v>0</v>
      </c>
      <c r="AF333" s="24">
        <v>0</v>
      </c>
      <c r="AG333" s="21">
        <f t="shared" si="486"/>
        <v>0</v>
      </c>
      <c r="AH333" s="42">
        <v>0</v>
      </c>
      <c r="AI333" s="42">
        <v>0</v>
      </c>
      <c r="AJ333" s="35">
        <v>0</v>
      </c>
      <c r="AK333" s="17">
        <f t="shared" si="487"/>
        <v>0</v>
      </c>
      <c r="AL333" s="42">
        <v>0</v>
      </c>
      <c r="AM333" s="42">
        <v>0</v>
      </c>
      <c r="AN333" s="35">
        <v>0</v>
      </c>
      <c r="AO333" s="24">
        <f t="shared" si="488"/>
        <v>0</v>
      </c>
      <c r="AP333" s="42">
        <v>0</v>
      </c>
      <c r="AQ333" s="42">
        <v>0</v>
      </c>
      <c r="AR333" s="68">
        <v>0</v>
      </c>
      <c r="AS333" s="71">
        <f t="shared" si="489"/>
        <v>0</v>
      </c>
      <c r="AT333" s="60">
        <v>0</v>
      </c>
      <c r="AU333" s="60">
        <v>0</v>
      </c>
      <c r="AV333" s="94">
        <v>0</v>
      </c>
      <c r="AW333" s="71">
        <f>+AS333+AT333+AU333-AV333</f>
        <v>0</v>
      </c>
      <c r="AX333" s="60">
        <f t="shared" si="187"/>
        <v>0</v>
      </c>
      <c r="AY333" s="60">
        <f t="shared" si="187"/>
        <v>0</v>
      </c>
      <c r="AZ333" s="78">
        <v>0</v>
      </c>
      <c r="BA333" s="78">
        <f t="shared" ref="BA333" si="495">(+AW333+AX333+AY333)-AZ333</f>
        <v>0</v>
      </c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95">
        <f t="shared" si="490"/>
        <v>0</v>
      </c>
    </row>
    <row r="334" spans="2:73" ht="22.8" thickBot="1" x14ac:dyDescent="0.55000000000000004">
      <c r="B334" s="3" t="s">
        <v>416</v>
      </c>
      <c r="C334" s="4" t="s">
        <v>354</v>
      </c>
      <c r="D334" s="11">
        <v>45216</v>
      </c>
      <c r="E334" s="5">
        <v>0</v>
      </c>
      <c r="F334" s="5">
        <f>+E334*$C$1</f>
        <v>0</v>
      </c>
      <c r="G334" s="5">
        <f t="shared" ref="G334" si="496">+BU334</f>
        <v>0</v>
      </c>
      <c r="H334" s="41">
        <f t="shared" ref="H334" si="497">+F334+G334</f>
        <v>0</v>
      </c>
      <c r="I334" s="73">
        <v>15</v>
      </c>
      <c r="J334" s="82"/>
      <c r="K334" s="7"/>
      <c r="L334" s="25">
        <v>45947</v>
      </c>
      <c r="M334" s="7"/>
      <c r="N334" s="46" t="s">
        <v>302</v>
      </c>
      <c r="Z334" s="3" t="s">
        <v>416</v>
      </c>
      <c r="AA334" s="34">
        <v>0</v>
      </c>
      <c r="AB334" s="34">
        <v>0</v>
      </c>
      <c r="AC334" s="35">
        <v>0</v>
      </c>
      <c r="AD334" s="35">
        <v>0</v>
      </c>
      <c r="AE334" s="35">
        <v>0</v>
      </c>
      <c r="AF334" s="24">
        <v>0</v>
      </c>
      <c r="AG334" s="21">
        <f t="shared" si="486"/>
        <v>0</v>
      </c>
      <c r="AH334" s="42">
        <v>0</v>
      </c>
      <c r="AI334" s="42">
        <v>0</v>
      </c>
      <c r="AJ334" s="35">
        <v>0</v>
      </c>
      <c r="AK334" s="17">
        <f t="shared" si="487"/>
        <v>0</v>
      </c>
      <c r="AL334" s="42">
        <v>0</v>
      </c>
      <c r="AM334" s="42">
        <v>0</v>
      </c>
      <c r="AN334" s="35">
        <v>0</v>
      </c>
      <c r="AO334" s="24">
        <f t="shared" si="488"/>
        <v>0</v>
      </c>
      <c r="AP334" s="42">
        <v>0</v>
      </c>
      <c r="AQ334" s="42">
        <v>0</v>
      </c>
      <c r="AR334" s="68">
        <v>0</v>
      </c>
      <c r="AS334" s="71">
        <f t="shared" si="489"/>
        <v>0</v>
      </c>
      <c r="AT334" s="60">
        <v>0</v>
      </c>
      <c r="AU334" s="60">
        <v>0</v>
      </c>
      <c r="AV334" s="94">
        <v>0</v>
      </c>
      <c r="AW334" s="71">
        <f t="shared" ref="AW334" si="498">+AS334+AT334+AU334-AV334</f>
        <v>0</v>
      </c>
      <c r="AX334" s="60">
        <f t="shared" si="26"/>
        <v>0</v>
      </c>
      <c r="AY334" s="60">
        <f t="shared" si="26"/>
        <v>0</v>
      </c>
      <c r="AZ334" s="78">
        <v>0</v>
      </c>
      <c r="BA334" s="78">
        <f t="shared" ref="BA334" si="499">(+AW334+AX334+AY334)-AZ334</f>
        <v>0</v>
      </c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95">
        <f t="shared" si="490"/>
        <v>0</v>
      </c>
    </row>
    <row r="335" spans="2:73" ht="22.8" thickBot="1" x14ac:dyDescent="0.55000000000000004">
      <c r="B335" s="3" t="s">
        <v>45</v>
      </c>
      <c r="C335" s="4" t="s">
        <v>165</v>
      </c>
      <c r="D335" s="3" t="s">
        <v>126</v>
      </c>
      <c r="E335" s="5">
        <v>5</v>
      </c>
      <c r="F335" s="5">
        <f>+E335*$C$1</f>
        <v>2666.65</v>
      </c>
      <c r="G335" s="5">
        <f>+BU335</f>
        <v>1662</v>
      </c>
      <c r="H335" s="41">
        <f>+F335+G335</f>
        <v>4328.6499999999996</v>
      </c>
      <c r="I335" s="73">
        <v>10</v>
      </c>
      <c r="J335" s="112"/>
      <c r="K335" s="7"/>
      <c r="L335" s="25">
        <v>45455</v>
      </c>
      <c r="M335" s="7"/>
      <c r="N335" s="46" t="s">
        <v>302</v>
      </c>
      <c r="Z335" s="3" t="s">
        <v>45</v>
      </c>
      <c r="AA335" s="34">
        <v>480</v>
      </c>
      <c r="AB335" s="34">
        <v>150</v>
      </c>
      <c r="AC335" s="35">
        <v>96</v>
      </c>
      <c r="AD335" s="35">
        <v>150</v>
      </c>
      <c r="AE335" s="35">
        <v>150</v>
      </c>
      <c r="AF335" s="24">
        <v>312</v>
      </c>
      <c r="AG335" s="21">
        <f t="shared" si="486"/>
        <v>162</v>
      </c>
      <c r="AH335" s="42">
        <v>0</v>
      </c>
      <c r="AI335" s="42">
        <f>+(0)+(54)+(0)+(0)+(54)+(54)</f>
        <v>162</v>
      </c>
      <c r="AJ335" s="35">
        <v>150</v>
      </c>
      <c r="AK335" s="17">
        <f t="shared" si="487"/>
        <v>174</v>
      </c>
      <c r="AL335" s="42">
        <f t="shared" si="178"/>
        <v>0</v>
      </c>
      <c r="AM335" s="42">
        <f>+(0)+(78)+(0)+(0)+(0)+(0)</f>
        <v>78</v>
      </c>
      <c r="AN335" s="35">
        <v>150</v>
      </c>
      <c r="AO335" s="24">
        <f t="shared" si="488"/>
        <v>102</v>
      </c>
      <c r="AP335" s="42">
        <f t="shared" si="172"/>
        <v>0</v>
      </c>
      <c r="AQ335" s="42">
        <f>+(0)+(96)+(0)+(0)+(30)+(0)</f>
        <v>126</v>
      </c>
      <c r="AR335" s="68">
        <v>150</v>
      </c>
      <c r="AS335" s="71">
        <f t="shared" si="489"/>
        <v>78</v>
      </c>
      <c r="AT335" s="60">
        <f>+(0)+(54)+(0)+(0)+(54)+(0)</f>
        <v>108</v>
      </c>
      <c r="AU335" s="60">
        <f t="shared" si="127"/>
        <v>0</v>
      </c>
      <c r="AV335" s="94">
        <v>150</v>
      </c>
      <c r="AW335" s="71">
        <f t="shared" ref="AW335:AW340" si="500">+AS335+AT335+AU335-AV335</f>
        <v>36</v>
      </c>
      <c r="AX335" s="60">
        <f t="shared" si="157"/>
        <v>0</v>
      </c>
      <c r="AY335" s="60">
        <f t="shared" si="157"/>
        <v>0</v>
      </c>
      <c r="AZ335" s="78">
        <v>36</v>
      </c>
      <c r="BA335" s="78">
        <f>(+AW335+AX335+AY335)-AZ335</f>
        <v>0</v>
      </c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95">
        <f t="shared" si="490"/>
        <v>1662</v>
      </c>
    </row>
    <row r="336" spans="2:73" ht="22.8" thickBot="1" x14ac:dyDescent="0.55000000000000004">
      <c r="B336" s="3" t="s">
        <v>417</v>
      </c>
      <c r="C336" s="4" t="s">
        <v>165</v>
      </c>
      <c r="D336" s="11">
        <v>45202</v>
      </c>
      <c r="E336" s="5">
        <v>0</v>
      </c>
      <c r="F336" s="5">
        <f>+E336*$C$1</f>
        <v>0</v>
      </c>
      <c r="G336" s="5">
        <f t="shared" ref="G336" si="501">+BU336</f>
        <v>0</v>
      </c>
      <c r="H336" s="41">
        <f t="shared" ref="H336" si="502">+F336+G336</f>
        <v>0</v>
      </c>
      <c r="I336" s="73">
        <v>4</v>
      </c>
      <c r="J336" s="82"/>
      <c r="K336" s="7"/>
      <c r="L336" s="25">
        <v>45933</v>
      </c>
      <c r="M336" s="7"/>
      <c r="N336" s="46" t="s">
        <v>302</v>
      </c>
      <c r="Z336" s="3" t="s">
        <v>417</v>
      </c>
      <c r="AA336" s="34">
        <v>0</v>
      </c>
      <c r="AB336" s="34">
        <v>0</v>
      </c>
      <c r="AC336" s="35">
        <v>0</v>
      </c>
      <c r="AD336" s="35">
        <v>0</v>
      </c>
      <c r="AE336" s="35">
        <v>0</v>
      </c>
      <c r="AF336" s="24">
        <v>0</v>
      </c>
      <c r="AG336" s="21">
        <f t="shared" ref="AG336:AG341" si="503">+AF336-AE336</f>
        <v>0</v>
      </c>
      <c r="AH336" s="42">
        <v>0</v>
      </c>
      <c r="AI336" s="42">
        <v>0</v>
      </c>
      <c r="AJ336" s="35">
        <v>0</v>
      </c>
      <c r="AK336" s="17">
        <f t="shared" ref="AK336:AK341" si="504">+AG336+(AH336+AI336)-AJ336</f>
        <v>0</v>
      </c>
      <c r="AL336" s="42">
        <v>0</v>
      </c>
      <c r="AM336" s="42">
        <v>0</v>
      </c>
      <c r="AN336" s="35">
        <v>0</v>
      </c>
      <c r="AO336" s="65">
        <f t="shared" ref="AO336:AO341" si="505">+AK336+AL336+AM336-AN336</f>
        <v>0</v>
      </c>
      <c r="AP336" s="42">
        <v>0</v>
      </c>
      <c r="AQ336" s="42">
        <v>0</v>
      </c>
      <c r="AR336" s="68">
        <v>0</v>
      </c>
      <c r="AS336" s="71">
        <f t="shared" ref="AS336:AS341" si="506">+AO336+AP336+AQ336-AR336</f>
        <v>0</v>
      </c>
      <c r="AT336" s="60">
        <f t="shared" si="31"/>
        <v>0</v>
      </c>
      <c r="AU336" s="60">
        <f t="shared" si="31"/>
        <v>0</v>
      </c>
      <c r="AV336" s="94">
        <v>0</v>
      </c>
      <c r="AW336" s="71">
        <f t="shared" si="500"/>
        <v>0</v>
      </c>
      <c r="AX336" s="60">
        <f t="shared" si="43"/>
        <v>0</v>
      </c>
      <c r="AY336" s="113">
        <f t="shared" si="16"/>
        <v>0</v>
      </c>
      <c r="AZ336" s="72">
        <v>0</v>
      </c>
      <c r="BA336" s="72">
        <f>(+AW336+AX336+AY336)-AZ336</f>
        <v>0</v>
      </c>
      <c r="BB336" s="125"/>
      <c r="BC336" s="125"/>
      <c r="BD336" s="125"/>
      <c r="BE336" s="125"/>
      <c r="BF336" s="125"/>
      <c r="BG336" s="125"/>
      <c r="BH336" s="125"/>
      <c r="BI336" s="125"/>
      <c r="BJ336" s="125"/>
      <c r="BK336" s="125"/>
      <c r="BL336" s="125"/>
      <c r="BM336" s="125"/>
      <c r="BN336" s="125"/>
      <c r="BO336" s="125"/>
      <c r="BP336" s="125"/>
      <c r="BQ336" s="125"/>
      <c r="BR336" s="125"/>
      <c r="BS336" s="125"/>
      <c r="BT336" s="125"/>
      <c r="BU336" s="95">
        <f t="shared" si="490"/>
        <v>0</v>
      </c>
    </row>
    <row r="337" spans="2:73" ht="22.8" thickBot="1" x14ac:dyDescent="0.55000000000000004">
      <c r="B337" s="3" t="s">
        <v>421</v>
      </c>
      <c r="C337" s="4" t="s">
        <v>354</v>
      </c>
      <c r="D337" s="11">
        <v>45250</v>
      </c>
      <c r="E337" s="5">
        <v>0</v>
      </c>
      <c r="F337" s="5">
        <f>+E337*$C$1</f>
        <v>0</v>
      </c>
      <c r="G337" s="5">
        <f t="shared" ref="G337" si="507">+BU337</f>
        <v>0</v>
      </c>
      <c r="H337" s="41">
        <f t="shared" ref="H337" si="508">+F337+G337</f>
        <v>0</v>
      </c>
      <c r="I337" s="73">
        <v>15</v>
      </c>
      <c r="J337" s="82"/>
      <c r="K337" s="7"/>
      <c r="L337" s="25">
        <v>45981</v>
      </c>
      <c r="M337" s="7"/>
      <c r="N337" s="46" t="s">
        <v>302</v>
      </c>
      <c r="Z337" s="3" t="s">
        <v>421</v>
      </c>
      <c r="AA337" s="36">
        <v>0</v>
      </c>
      <c r="AB337" s="34">
        <v>0</v>
      </c>
      <c r="AC337" s="35">
        <v>0</v>
      </c>
      <c r="AD337" s="35">
        <v>0</v>
      </c>
      <c r="AE337" s="35">
        <v>0</v>
      </c>
      <c r="AF337" s="24">
        <v>0</v>
      </c>
      <c r="AG337" s="21">
        <f t="shared" si="503"/>
        <v>0</v>
      </c>
      <c r="AH337" s="42">
        <v>0</v>
      </c>
      <c r="AI337" s="42">
        <v>0</v>
      </c>
      <c r="AJ337" s="35">
        <v>0</v>
      </c>
      <c r="AK337" s="17">
        <f t="shared" si="504"/>
        <v>0</v>
      </c>
      <c r="AL337" s="42">
        <v>0</v>
      </c>
      <c r="AM337" s="42">
        <v>0</v>
      </c>
      <c r="AN337" s="35">
        <v>0</v>
      </c>
      <c r="AO337" s="24">
        <f t="shared" si="505"/>
        <v>0</v>
      </c>
      <c r="AP337" s="42">
        <v>0</v>
      </c>
      <c r="AQ337" s="42">
        <v>0</v>
      </c>
      <c r="AR337" s="68">
        <v>0</v>
      </c>
      <c r="AS337" s="71">
        <f t="shared" si="506"/>
        <v>0</v>
      </c>
      <c r="AT337" s="60">
        <v>0</v>
      </c>
      <c r="AU337" s="60">
        <v>0</v>
      </c>
      <c r="AV337" s="94">
        <v>0</v>
      </c>
      <c r="AW337" s="71">
        <f t="shared" si="500"/>
        <v>0</v>
      </c>
      <c r="AX337" s="60">
        <f t="shared" si="63"/>
        <v>0</v>
      </c>
      <c r="AY337" s="113">
        <f t="shared" si="16"/>
        <v>0</v>
      </c>
      <c r="AZ337" s="72">
        <v>0</v>
      </c>
      <c r="BA337" s="72">
        <f t="shared" ref="BA337" si="509">(+AW337+AX337+AY337)-AZ337</f>
        <v>0</v>
      </c>
      <c r="BB337" s="125"/>
      <c r="BC337" s="125"/>
      <c r="BD337" s="125"/>
      <c r="BE337" s="125"/>
      <c r="BF337" s="125"/>
      <c r="BG337" s="125"/>
      <c r="BH337" s="125"/>
      <c r="BI337" s="125"/>
      <c r="BJ337" s="125"/>
      <c r="BK337" s="125"/>
      <c r="BL337" s="125"/>
      <c r="BM337" s="125"/>
      <c r="BN337" s="125"/>
      <c r="BO337" s="125"/>
      <c r="BP337" s="125"/>
      <c r="BQ337" s="125"/>
      <c r="BR337" s="125"/>
      <c r="BS337" s="125"/>
      <c r="BT337" s="125"/>
      <c r="BU337" s="95">
        <f t="shared" si="490"/>
        <v>0</v>
      </c>
    </row>
    <row r="338" spans="2:73" ht="22.8" thickBot="1" x14ac:dyDescent="0.55000000000000004">
      <c r="B338" s="3" t="s">
        <v>312</v>
      </c>
      <c r="C338" s="4" t="s">
        <v>168</v>
      </c>
      <c r="D338" s="11">
        <v>44075</v>
      </c>
      <c r="E338" s="5">
        <v>1</v>
      </c>
      <c r="F338" s="5">
        <f>+E338*$C$1</f>
        <v>533.33000000000004</v>
      </c>
      <c r="G338" s="5">
        <f>+BU338</f>
        <v>457.8</v>
      </c>
      <c r="H338" s="41">
        <f>+F338+G338</f>
        <v>991.13000000000011</v>
      </c>
      <c r="I338" s="73">
        <v>14</v>
      </c>
      <c r="J338" s="112"/>
      <c r="K338" s="7"/>
      <c r="L338" s="25">
        <v>45536</v>
      </c>
      <c r="M338" s="7"/>
      <c r="N338" s="46" t="s">
        <v>302</v>
      </c>
      <c r="Z338" s="3" t="s">
        <v>312</v>
      </c>
      <c r="AA338" s="36">
        <v>0</v>
      </c>
      <c r="AB338" s="34">
        <v>0</v>
      </c>
      <c r="AC338" s="35">
        <v>0</v>
      </c>
      <c r="AD338" s="35">
        <v>0</v>
      </c>
      <c r="AE338" s="35">
        <v>0</v>
      </c>
      <c r="AF338" s="24">
        <v>0</v>
      </c>
      <c r="AG338" s="21">
        <f t="shared" si="503"/>
        <v>0</v>
      </c>
      <c r="AH338" s="42">
        <v>0</v>
      </c>
      <c r="AI338" s="42">
        <f>+(0)+(0)+(0)+(0)+(0)+(0)</f>
        <v>0</v>
      </c>
      <c r="AJ338" s="35">
        <v>0</v>
      </c>
      <c r="AK338" s="17">
        <f t="shared" si="504"/>
        <v>0</v>
      </c>
      <c r="AL338" s="42">
        <f>+(0)+(0)+(0)+(0)+(0)+(0)</f>
        <v>0</v>
      </c>
      <c r="AM338" s="42">
        <f>+(30)+(37.8)+(0)+(0)+(0)+(30)</f>
        <v>97.8</v>
      </c>
      <c r="AN338" s="35">
        <v>97.8</v>
      </c>
      <c r="AO338" s="24">
        <f t="shared" si="505"/>
        <v>0</v>
      </c>
      <c r="AP338" s="42">
        <f>+(0)+(58.8)+(54.6)+(0)+(30)+(0)</f>
        <v>143.4</v>
      </c>
      <c r="AQ338" s="42">
        <f>+(0)+(21)+(0)+(0)+(54)+(204)</f>
        <v>279</v>
      </c>
      <c r="AR338" s="68">
        <v>120</v>
      </c>
      <c r="AS338" s="71">
        <f t="shared" si="506"/>
        <v>302.39999999999998</v>
      </c>
      <c r="AT338" s="60">
        <f t="shared" si="31"/>
        <v>0</v>
      </c>
      <c r="AU338" s="60">
        <f t="shared" si="31"/>
        <v>0</v>
      </c>
      <c r="AV338" s="94">
        <v>120</v>
      </c>
      <c r="AW338" s="71">
        <f t="shared" si="500"/>
        <v>182.39999999999998</v>
      </c>
      <c r="AX338" s="60">
        <f t="shared" si="63"/>
        <v>0</v>
      </c>
      <c r="AY338" s="113">
        <f t="shared" si="16"/>
        <v>0</v>
      </c>
      <c r="AZ338" s="72">
        <v>120</v>
      </c>
      <c r="BA338" s="72">
        <f t="shared" ref="BA338:BA343" si="510">(+AW338+AX338+AY338)-AZ338</f>
        <v>62.399999999999977</v>
      </c>
      <c r="BB338" s="125"/>
      <c r="BC338" s="125"/>
      <c r="BD338" s="125"/>
      <c r="BE338" s="125"/>
      <c r="BF338" s="125"/>
      <c r="BG338" s="125"/>
      <c r="BH338" s="125"/>
      <c r="BI338" s="125"/>
      <c r="BJ338" s="125"/>
      <c r="BK338" s="125"/>
      <c r="BL338" s="125"/>
      <c r="BM338" s="125"/>
      <c r="BN338" s="125"/>
      <c r="BO338" s="125"/>
      <c r="BP338" s="125"/>
      <c r="BQ338" s="125"/>
      <c r="BR338" s="125"/>
      <c r="BS338" s="125"/>
      <c r="BT338" s="125"/>
      <c r="BU338" s="95">
        <f t="shared" si="490"/>
        <v>457.8</v>
      </c>
    </row>
    <row r="339" spans="2:73" ht="22.8" thickBot="1" x14ac:dyDescent="0.55000000000000004">
      <c r="B339" s="3" t="s">
        <v>403</v>
      </c>
      <c r="C339" s="4" t="s">
        <v>165</v>
      </c>
      <c r="D339" s="11">
        <v>45012</v>
      </c>
      <c r="E339" s="5">
        <v>0</v>
      </c>
      <c r="F339" s="5">
        <f t="shared" ref="F339" si="511">+E339*$C$1</f>
        <v>0</v>
      </c>
      <c r="G339" s="5">
        <f t="shared" ref="G339" si="512">+BU339</f>
        <v>0</v>
      </c>
      <c r="H339" s="41">
        <f t="shared" ref="H339" si="513">+F339+G339</f>
        <v>0</v>
      </c>
      <c r="I339" s="73">
        <v>15</v>
      </c>
      <c r="J339" s="82"/>
      <c r="K339" s="7"/>
      <c r="L339" s="25">
        <v>45743</v>
      </c>
      <c r="M339" s="7"/>
      <c r="N339" s="46" t="s">
        <v>302</v>
      </c>
      <c r="O339" s="1"/>
      <c r="P339" s="1"/>
      <c r="Q339" s="1"/>
      <c r="R339" s="1"/>
      <c r="S339" s="1"/>
      <c r="T339" s="1"/>
      <c r="U339" s="1"/>
      <c r="V339" s="1"/>
      <c r="W339" s="1"/>
      <c r="Z339" s="3" t="s">
        <v>403</v>
      </c>
      <c r="AA339" s="34">
        <v>0</v>
      </c>
      <c r="AB339" s="34">
        <v>0</v>
      </c>
      <c r="AC339" s="35">
        <v>0</v>
      </c>
      <c r="AD339" s="35">
        <v>0</v>
      </c>
      <c r="AE339" s="35">
        <v>0</v>
      </c>
      <c r="AF339" s="24">
        <v>0</v>
      </c>
      <c r="AG339" s="21">
        <f t="shared" si="503"/>
        <v>0</v>
      </c>
      <c r="AH339" s="42">
        <v>0</v>
      </c>
      <c r="AI339" s="42">
        <v>0</v>
      </c>
      <c r="AJ339" s="35">
        <v>0</v>
      </c>
      <c r="AK339" s="17">
        <f t="shared" si="504"/>
        <v>0</v>
      </c>
      <c r="AL339" s="42">
        <v>0</v>
      </c>
      <c r="AM339" s="42">
        <v>0</v>
      </c>
      <c r="AN339" s="35">
        <v>0</v>
      </c>
      <c r="AO339" s="24">
        <f t="shared" si="505"/>
        <v>0</v>
      </c>
      <c r="AP339" s="42">
        <v>0</v>
      </c>
      <c r="AQ339" s="42">
        <v>0</v>
      </c>
      <c r="AR339" s="68">
        <v>0</v>
      </c>
      <c r="AS339" s="71">
        <f t="shared" si="506"/>
        <v>0</v>
      </c>
      <c r="AT339" s="60">
        <f t="shared" si="185"/>
        <v>0</v>
      </c>
      <c r="AU339" s="60">
        <f t="shared" si="185"/>
        <v>0</v>
      </c>
      <c r="AV339" s="94">
        <v>0</v>
      </c>
      <c r="AW339" s="71">
        <f t="shared" si="500"/>
        <v>0</v>
      </c>
      <c r="AX339" s="60">
        <f t="shared" si="187"/>
        <v>0</v>
      </c>
      <c r="AY339" s="113">
        <f t="shared" si="149"/>
        <v>0</v>
      </c>
      <c r="AZ339" s="72">
        <v>0</v>
      </c>
      <c r="BA339" s="72">
        <f t="shared" si="510"/>
        <v>0</v>
      </c>
      <c r="BB339" s="125"/>
      <c r="BC339" s="125"/>
      <c r="BD339" s="125"/>
      <c r="BE339" s="125"/>
      <c r="BF339" s="125"/>
      <c r="BG339" s="125"/>
      <c r="BH339" s="125"/>
      <c r="BI339" s="125"/>
      <c r="BJ339" s="125"/>
      <c r="BK339" s="125"/>
      <c r="BL339" s="125"/>
      <c r="BM339" s="125"/>
      <c r="BN339" s="125"/>
      <c r="BO339" s="125"/>
      <c r="BP339" s="125"/>
      <c r="BQ339" s="125"/>
      <c r="BR339" s="125"/>
      <c r="BS339" s="125"/>
      <c r="BT339" s="125"/>
      <c r="BU339" s="95">
        <f t="shared" si="490"/>
        <v>0</v>
      </c>
    </row>
    <row r="340" spans="2:73" ht="22.8" thickBot="1" x14ac:dyDescent="0.55000000000000004">
      <c r="B340" s="3" t="s">
        <v>366</v>
      </c>
      <c r="C340" s="4" t="s">
        <v>166</v>
      </c>
      <c r="D340" s="11">
        <v>44652</v>
      </c>
      <c r="E340" s="5">
        <v>1</v>
      </c>
      <c r="F340" s="5">
        <f t="shared" ref="F340" si="514">+E340*$C$1</f>
        <v>533.33000000000004</v>
      </c>
      <c r="G340" s="5">
        <f t="shared" ref="G340" si="515">+BU340</f>
        <v>337.2</v>
      </c>
      <c r="H340" s="41">
        <f t="shared" ref="H340" si="516">+F340+G340</f>
        <v>870.53</v>
      </c>
      <c r="I340" s="73">
        <v>15</v>
      </c>
      <c r="J340" s="82"/>
      <c r="K340" s="7"/>
      <c r="L340" s="25">
        <v>45383</v>
      </c>
      <c r="M340" s="7"/>
      <c r="N340" s="46" t="s">
        <v>302</v>
      </c>
      <c r="Z340" s="3" t="s">
        <v>366</v>
      </c>
      <c r="AA340" s="34">
        <v>0</v>
      </c>
      <c r="AB340" s="34">
        <v>0</v>
      </c>
      <c r="AC340" s="35">
        <v>0</v>
      </c>
      <c r="AD340" s="35">
        <v>0</v>
      </c>
      <c r="AE340" s="35">
        <v>0</v>
      </c>
      <c r="AF340" s="24">
        <v>0</v>
      </c>
      <c r="AG340" s="21">
        <f t="shared" si="503"/>
        <v>0</v>
      </c>
      <c r="AH340" s="42">
        <v>0</v>
      </c>
      <c r="AI340" s="42">
        <v>0</v>
      </c>
      <c r="AJ340" s="35">
        <v>0</v>
      </c>
      <c r="AK340" s="17">
        <f t="shared" si="504"/>
        <v>0</v>
      </c>
      <c r="AL340" s="42">
        <v>0</v>
      </c>
      <c r="AM340" s="42">
        <v>0</v>
      </c>
      <c r="AN340" s="35">
        <v>0</v>
      </c>
      <c r="AO340" s="24">
        <f t="shared" si="505"/>
        <v>0</v>
      </c>
      <c r="AP340" s="42">
        <f t="shared" si="184"/>
        <v>0</v>
      </c>
      <c r="AQ340" s="42">
        <f>+(0)+(0)+(0)+(0)+(67.2)+(0)</f>
        <v>67.2</v>
      </c>
      <c r="AR340" s="68">
        <v>67.2</v>
      </c>
      <c r="AS340" s="71">
        <f t="shared" si="506"/>
        <v>0</v>
      </c>
      <c r="AT340" s="60">
        <f>+(0)+(0)+(0)+(0)+(54)+(0)</f>
        <v>54</v>
      </c>
      <c r="AU340" s="60">
        <f>+(0)+(120)+(0)+(0)+(0)+(0)</f>
        <v>120</v>
      </c>
      <c r="AV340" s="94">
        <v>150</v>
      </c>
      <c r="AW340" s="71">
        <f t="shared" si="500"/>
        <v>24</v>
      </c>
      <c r="AX340" s="60">
        <f>+(0)+(0)+(0)+(96)</f>
        <v>96</v>
      </c>
      <c r="AY340" s="113">
        <f t="shared" si="149"/>
        <v>0</v>
      </c>
      <c r="AZ340" s="72">
        <v>120</v>
      </c>
      <c r="BA340" s="72">
        <f t="shared" si="510"/>
        <v>0</v>
      </c>
      <c r="BB340" s="125"/>
      <c r="BC340" s="125"/>
      <c r="BD340" s="125"/>
      <c r="BE340" s="125"/>
      <c r="BF340" s="125"/>
      <c r="BG340" s="125"/>
      <c r="BH340" s="125"/>
      <c r="BI340" s="125"/>
      <c r="BJ340" s="125"/>
      <c r="BK340" s="125"/>
      <c r="BL340" s="125"/>
      <c r="BM340" s="125"/>
      <c r="BN340" s="125"/>
      <c r="BO340" s="125"/>
      <c r="BP340" s="125"/>
      <c r="BQ340" s="125"/>
      <c r="BR340" s="125"/>
      <c r="BS340" s="125"/>
      <c r="BT340" s="125"/>
      <c r="BU340" s="95">
        <f t="shared" si="490"/>
        <v>337.2</v>
      </c>
    </row>
    <row r="341" spans="2:73" ht="22.8" thickBot="1" x14ac:dyDescent="0.55000000000000004">
      <c r="B341" s="3" t="s">
        <v>347</v>
      </c>
      <c r="C341" s="4" t="s">
        <v>166</v>
      </c>
      <c r="D341" s="11">
        <v>44297</v>
      </c>
      <c r="E341" s="51">
        <v>2</v>
      </c>
      <c r="F341" s="5">
        <f>+E341*$C$1</f>
        <v>1066.6600000000001</v>
      </c>
      <c r="G341" s="5">
        <f>+BU341</f>
        <v>483.6</v>
      </c>
      <c r="H341" s="41">
        <f>+F341+G341</f>
        <v>1550.2600000000002</v>
      </c>
      <c r="I341" s="73">
        <v>14</v>
      </c>
      <c r="J341" s="82"/>
      <c r="K341" s="7"/>
      <c r="L341" s="55">
        <v>45758</v>
      </c>
      <c r="M341" s="56"/>
      <c r="N341" s="46" t="s">
        <v>302</v>
      </c>
      <c r="Z341" s="3" t="s">
        <v>347</v>
      </c>
      <c r="AA341" s="63">
        <v>162</v>
      </c>
      <c r="AB341" s="34">
        <v>0</v>
      </c>
      <c r="AC341" s="35">
        <v>0</v>
      </c>
      <c r="AD341" s="35">
        <v>0</v>
      </c>
      <c r="AE341" s="35">
        <v>0</v>
      </c>
      <c r="AF341" s="24">
        <v>0</v>
      </c>
      <c r="AG341" s="21">
        <f t="shared" si="503"/>
        <v>0</v>
      </c>
      <c r="AH341" s="42">
        <v>0</v>
      </c>
      <c r="AI341" s="42">
        <v>0</v>
      </c>
      <c r="AJ341" s="35">
        <v>0</v>
      </c>
      <c r="AK341" s="17">
        <f t="shared" si="504"/>
        <v>0</v>
      </c>
      <c r="AL341" s="42">
        <f t="shared" si="201"/>
        <v>0</v>
      </c>
      <c r="AM341" s="42">
        <f>+(0)+(0)+(78)+(0)+(0)+(0)</f>
        <v>78</v>
      </c>
      <c r="AN341" s="35">
        <v>78</v>
      </c>
      <c r="AO341" s="24">
        <f t="shared" si="505"/>
        <v>0</v>
      </c>
      <c r="AP341" s="42">
        <f>+(0)+(108)+(0)+(0)+(0)+(0)</f>
        <v>108</v>
      </c>
      <c r="AQ341" s="42">
        <f>+(0)+(30)+(0)+(0)+(30)+(0)</f>
        <v>60</v>
      </c>
      <c r="AR341" s="68">
        <v>150</v>
      </c>
      <c r="AS341" s="71">
        <f t="shared" si="506"/>
        <v>18</v>
      </c>
      <c r="AT341" s="60">
        <f>+(75.6)+(0)+(0)+(0)+(0)+(0)</f>
        <v>75.599999999999994</v>
      </c>
      <c r="AU341" s="60">
        <f t="shared" si="311"/>
        <v>0</v>
      </c>
      <c r="AV341" s="94">
        <v>93.6</v>
      </c>
      <c r="AW341" s="71">
        <f>+AS341+AT341+AU341-AV341</f>
        <v>0</v>
      </c>
      <c r="AX341" s="60">
        <f t="shared" si="302"/>
        <v>0</v>
      </c>
      <c r="AY341" s="113">
        <f t="shared" si="252"/>
        <v>0</v>
      </c>
      <c r="AZ341" s="72">
        <v>0</v>
      </c>
      <c r="BA341" s="72">
        <f t="shared" si="510"/>
        <v>0</v>
      </c>
      <c r="BB341" s="125"/>
      <c r="BC341" s="125"/>
      <c r="BD341" s="125"/>
      <c r="BE341" s="125"/>
      <c r="BF341" s="125"/>
      <c r="BG341" s="125"/>
      <c r="BH341" s="125"/>
      <c r="BI341" s="125"/>
      <c r="BJ341" s="125"/>
      <c r="BK341" s="125"/>
      <c r="BL341" s="125"/>
      <c r="BM341" s="125"/>
      <c r="BN341" s="125"/>
      <c r="BO341" s="125"/>
      <c r="BP341" s="125"/>
      <c r="BQ341" s="125"/>
      <c r="BR341" s="125"/>
      <c r="BS341" s="125"/>
      <c r="BT341" s="125"/>
      <c r="BU341" s="95">
        <f t="shared" si="490"/>
        <v>483.6</v>
      </c>
    </row>
    <row r="342" spans="2:73" ht="22.8" thickBot="1" x14ac:dyDescent="0.55000000000000004">
      <c r="B342" s="3" t="s">
        <v>404</v>
      </c>
      <c r="C342" s="4" t="s">
        <v>166</v>
      </c>
      <c r="D342" s="11">
        <v>45009</v>
      </c>
      <c r="E342" s="5">
        <v>0</v>
      </c>
      <c r="F342" s="5">
        <f t="shared" ref="F342" si="517">+E342*$C$1</f>
        <v>0</v>
      </c>
      <c r="G342" s="5">
        <f t="shared" ref="G342" si="518">+BU342</f>
        <v>0</v>
      </c>
      <c r="H342" s="41">
        <f t="shared" ref="H342" si="519">+F342+G342</f>
        <v>0</v>
      </c>
      <c r="I342" s="73">
        <v>15</v>
      </c>
      <c r="J342" s="112"/>
      <c r="K342" s="7"/>
      <c r="L342" s="25">
        <v>45740</v>
      </c>
      <c r="M342" s="7"/>
      <c r="N342" s="46" t="s">
        <v>302</v>
      </c>
      <c r="Z342" s="3" t="s">
        <v>404</v>
      </c>
      <c r="AA342" s="34">
        <v>0</v>
      </c>
      <c r="AB342" s="34">
        <v>0</v>
      </c>
      <c r="AC342" s="35">
        <v>0</v>
      </c>
      <c r="AD342" s="35">
        <v>0</v>
      </c>
      <c r="AE342" s="35">
        <v>0</v>
      </c>
      <c r="AF342" s="24">
        <v>0</v>
      </c>
      <c r="AG342" s="21">
        <f>+AF342-AE342</f>
        <v>0</v>
      </c>
      <c r="AH342" s="42">
        <v>0</v>
      </c>
      <c r="AI342" s="42">
        <v>0</v>
      </c>
      <c r="AJ342" s="35">
        <v>0</v>
      </c>
      <c r="AK342" s="17">
        <f>+AG342+(AH342+AI342)-AJ342</f>
        <v>0</v>
      </c>
      <c r="AL342" s="42">
        <v>0</v>
      </c>
      <c r="AM342" s="42">
        <v>0</v>
      </c>
      <c r="AN342" s="35">
        <v>0</v>
      </c>
      <c r="AO342" s="24">
        <f>+AK342+AL342+AM342-AN342</f>
        <v>0</v>
      </c>
      <c r="AP342" s="42">
        <v>0</v>
      </c>
      <c r="AQ342" s="42">
        <v>0</v>
      </c>
      <c r="AR342" s="68">
        <v>0</v>
      </c>
      <c r="AS342" s="71">
        <f>+AO342+AP342+AQ342-AR342</f>
        <v>0</v>
      </c>
      <c r="AT342" s="60">
        <f t="shared" si="185"/>
        <v>0</v>
      </c>
      <c r="AU342" s="60">
        <f t="shared" si="185"/>
        <v>0</v>
      </c>
      <c r="AV342" s="94">
        <v>0</v>
      </c>
      <c r="AW342" s="71">
        <f>+AS342+AT342+AU342-AV342</f>
        <v>0</v>
      </c>
      <c r="AX342" s="60">
        <f t="shared" ref="AX342" si="520">+(0)+(0)+(0)+(0)</f>
        <v>0</v>
      </c>
      <c r="AY342" s="113">
        <f t="shared" si="252"/>
        <v>0</v>
      </c>
      <c r="AZ342" s="72">
        <v>0</v>
      </c>
      <c r="BA342" s="72">
        <f t="shared" si="510"/>
        <v>0</v>
      </c>
      <c r="BB342" s="125"/>
      <c r="BC342" s="125"/>
      <c r="BD342" s="125"/>
      <c r="BE342" s="125"/>
      <c r="BF342" s="125"/>
      <c r="BG342" s="125"/>
      <c r="BH342" s="125"/>
      <c r="BI342" s="125"/>
      <c r="BJ342" s="125"/>
      <c r="BK342" s="125"/>
      <c r="BL342" s="125"/>
      <c r="BM342" s="125"/>
      <c r="BN342" s="125"/>
      <c r="BO342" s="125"/>
      <c r="BP342" s="125"/>
      <c r="BQ342" s="125"/>
      <c r="BR342" s="125"/>
      <c r="BS342" s="125"/>
      <c r="BT342" s="125"/>
      <c r="BU342" s="95">
        <f t="shared" si="490"/>
        <v>0</v>
      </c>
    </row>
    <row r="343" spans="2:73" ht="22.8" thickBot="1" x14ac:dyDescent="0.55000000000000004">
      <c r="B343" s="3" t="s">
        <v>367</v>
      </c>
      <c r="C343" s="4" t="s">
        <v>164</v>
      </c>
      <c r="D343" s="11">
        <v>44657</v>
      </c>
      <c r="E343" s="5">
        <v>1</v>
      </c>
      <c r="F343" s="5">
        <f t="shared" ref="F343" si="521">+E343*$C$1</f>
        <v>533.33000000000004</v>
      </c>
      <c r="G343" s="5">
        <f t="shared" ref="G343" si="522">+BU343</f>
        <v>96</v>
      </c>
      <c r="H343" s="41">
        <f t="shared" ref="H343" si="523">+F343+G343</f>
        <v>629.33000000000004</v>
      </c>
      <c r="I343" s="73">
        <v>15</v>
      </c>
      <c r="J343" s="82"/>
      <c r="K343" s="62" t="s">
        <v>300</v>
      </c>
      <c r="L343" s="25">
        <v>46118</v>
      </c>
      <c r="M343" s="7"/>
      <c r="N343" s="46" t="s">
        <v>302</v>
      </c>
      <c r="Z343" s="3" t="s">
        <v>367</v>
      </c>
      <c r="AA343" s="36">
        <v>0</v>
      </c>
      <c r="AB343" s="34">
        <v>0</v>
      </c>
      <c r="AC343" s="35">
        <v>0</v>
      </c>
      <c r="AD343" s="35">
        <v>0</v>
      </c>
      <c r="AE343" s="35">
        <v>0</v>
      </c>
      <c r="AF343" s="24">
        <v>0</v>
      </c>
      <c r="AG343" s="21">
        <f>+AF343-AE343</f>
        <v>0</v>
      </c>
      <c r="AH343" s="42">
        <v>0</v>
      </c>
      <c r="AI343" s="42">
        <v>0</v>
      </c>
      <c r="AJ343" s="35">
        <v>0</v>
      </c>
      <c r="AK343" s="17">
        <f>+AG343+(AH343+AI343)-AJ343</f>
        <v>0</v>
      </c>
      <c r="AL343" s="42">
        <v>0</v>
      </c>
      <c r="AM343" s="42">
        <v>0</v>
      </c>
      <c r="AN343" s="35">
        <v>0</v>
      </c>
      <c r="AO343" s="24">
        <f>+AK343+AL343+AM343-AN343</f>
        <v>0</v>
      </c>
      <c r="AP343" s="42">
        <f t="shared" si="184"/>
        <v>0</v>
      </c>
      <c r="AQ343" s="42">
        <f>+(0)+(0)+(0)+(0)+(0)+(96)</f>
        <v>96</v>
      </c>
      <c r="AR343" s="68">
        <v>96</v>
      </c>
      <c r="AS343" s="71">
        <f>+AO343+AP343+AQ343-AR343</f>
        <v>0</v>
      </c>
      <c r="AT343" s="60">
        <f t="shared" si="185"/>
        <v>0</v>
      </c>
      <c r="AU343" s="60">
        <f t="shared" si="185"/>
        <v>0</v>
      </c>
      <c r="AV343" s="94">
        <v>0</v>
      </c>
      <c r="AW343" s="71">
        <f>+AS343+AT343+AU343-AV343</f>
        <v>0</v>
      </c>
      <c r="AX343" s="60">
        <f t="shared" si="302"/>
        <v>0</v>
      </c>
      <c r="AY343" s="113">
        <f t="shared" si="252"/>
        <v>0</v>
      </c>
      <c r="AZ343" s="72">
        <v>0</v>
      </c>
      <c r="BA343" s="72">
        <f t="shared" si="510"/>
        <v>0</v>
      </c>
      <c r="BB343" s="125"/>
      <c r="BC343" s="125"/>
      <c r="BD343" s="125"/>
      <c r="BE343" s="125"/>
      <c r="BF343" s="125"/>
      <c r="BG343" s="125"/>
      <c r="BH343" s="125"/>
      <c r="BI343" s="125"/>
      <c r="BJ343" s="125"/>
      <c r="BK343" s="125"/>
      <c r="BL343" s="125"/>
      <c r="BM343" s="125"/>
      <c r="BN343" s="125"/>
      <c r="BO343" s="125"/>
      <c r="BP343" s="125"/>
      <c r="BQ343" s="125"/>
      <c r="BR343" s="125"/>
      <c r="BS343" s="125"/>
      <c r="BT343" s="125"/>
      <c r="BU343" s="95">
        <f t="shared" si="490"/>
        <v>96</v>
      </c>
    </row>
    <row r="344" spans="2:73" ht="22.8" thickBot="1" x14ac:dyDescent="0.55000000000000004">
      <c r="B344" s="3" t="s">
        <v>419</v>
      </c>
      <c r="C344" s="4" t="s">
        <v>166</v>
      </c>
      <c r="D344" s="11">
        <v>45205</v>
      </c>
      <c r="E344" s="5">
        <v>0</v>
      </c>
      <c r="F344" s="5">
        <f>+E344*$C$1</f>
        <v>0</v>
      </c>
      <c r="G344" s="5">
        <f t="shared" ref="G344" si="524">+BU344</f>
        <v>133.80000000000001</v>
      </c>
      <c r="H344" s="41">
        <f t="shared" ref="H344" si="525">+F344+G344</f>
        <v>133.80000000000001</v>
      </c>
      <c r="I344" s="73">
        <v>15</v>
      </c>
      <c r="J344" s="82"/>
      <c r="K344" s="7"/>
      <c r="L344" s="25">
        <v>45936</v>
      </c>
      <c r="M344" s="7"/>
      <c r="N344" s="46" t="s">
        <v>302</v>
      </c>
      <c r="Z344" s="3" t="s">
        <v>420</v>
      </c>
      <c r="AA344" s="49">
        <v>37.799999999999997</v>
      </c>
      <c r="AB344" s="34">
        <v>0</v>
      </c>
      <c r="AC344" s="35">
        <v>0</v>
      </c>
      <c r="AD344" s="35">
        <v>0</v>
      </c>
      <c r="AE344" s="35">
        <v>0</v>
      </c>
      <c r="AF344" s="24">
        <v>0</v>
      </c>
      <c r="AG344" s="21">
        <f>+AF344-AE344</f>
        <v>0</v>
      </c>
      <c r="AH344" s="42">
        <v>0</v>
      </c>
      <c r="AI344" s="42">
        <v>0</v>
      </c>
      <c r="AJ344" s="35">
        <v>0</v>
      </c>
      <c r="AK344" s="17">
        <f>+AG344+(AH344+AI344)-AJ344</f>
        <v>0</v>
      </c>
      <c r="AL344" s="42">
        <v>0</v>
      </c>
      <c r="AM344" s="42">
        <v>0</v>
      </c>
      <c r="AN344" s="35">
        <v>0</v>
      </c>
      <c r="AO344" s="24">
        <f>+AK344+AL344+AM344-AN344</f>
        <v>0</v>
      </c>
      <c r="AP344" s="42">
        <v>0</v>
      </c>
      <c r="AQ344" s="42">
        <v>0</v>
      </c>
      <c r="AR344" s="68">
        <v>0</v>
      </c>
      <c r="AS344" s="71">
        <f>+AO344+AP344+AQ344-AR344</f>
        <v>0</v>
      </c>
      <c r="AT344" s="60">
        <v>0</v>
      </c>
      <c r="AU344" s="60">
        <v>0</v>
      </c>
      <c r="AV344" s="94">
        <v>0</v>
      </c>
      <c r="AW344" s="71">
        <f>+AS344+AT344+AU344-AV344</f>
        <v>0</v>
      </c>
      <c r="AX344" s="60">
        <f t="shared" si="329"/>
        <v>0</v>
      </c>
      <c r="AY344" s="113">
        <f>+(96)+(0)+(0)+(0)+(0)+(0)+(0)+(0)</f>
        <v>96</v>
      </c>
      <c r="AZ344" s="71">
        <v>96</v>
      </c>
      <c r="BA344" s="71">
        <f t="shared" ref="BA344" si="526">(+AW344+AX344+AY344)-AZ344</f>
        <v>0</v>
      </c>
      <c r="BB344" s="124"/>
      <c r="BC344" s="124"/>
      <c r="BD344" s="124"/>
      <c r="BE344" s="124"/>
      <c r="BF344" s="124"/>
      <c r="BG344" s="124"/>
      <c r="BH344" s="124"/>
      <c r="BI344" s="124"/>
      <c r="BJ344" s="124"/>
      <c r="BK344" s="124"/>
      <c r="BL344" s="124"/>
      <c r="BM344" s="124"/>
      <c r="BN344" s="124"/>
      <c r="BO344" s="124"/>
      <c r="BP344" s="124"/>
      <c r="BQ344" s="124"/>
      <c r="BR344" s="124"/>
      <c r="BS344" s="124"/>
      <c r="BT344" s="124"/>
      <c r="BU344" s="95">
        <f t="shared" si="490"/>
        <v>133.80000000000001</v>
      </c>
    </row>
    <row r="345" spans="2:73" ht="22.8" thickBot="1" x14ac:dyDescent="0.55000000000000004">
      <c r="B345" s="3" t="s">
        <v>361</v>
      </c>
      <c r="C345" s="4" t="s">
        <v>165</v>
      </c>
      <c r="D345" s="10">
        <v>44627</v>
      </c>
      <c r="E345" s="5">
        <v>10</v>
      </c>
      <c r="F345" s="5">
        <f>+E345*$C$1</f>
        <v>5333.3</v>
      </c>
      <c r="G345" s="5">
        <f>+BU345</f>
        <v>954.69999999999993</v>
      </c>
      <c r="H345" s="41">
        <f>+F345+G345</f>
        <v>6288</v>
      </c>
      <c r="I345" s="73">
        <v>8</v>
      </c>
      <c r="J345" s="82"/>
      <c r="K345" s="7"/>
      <c r="L345" s="116">
        <v>45992</v>
      </c>
      <c r="M345" s="7"/>
      <c r="N345" s="46" t="s">
        <v>302</v>
      </c>
      <c r="O345" s="1"/>
      <c r="P345" s="1"/>
      <c r="Q345" s="1"/>
      <c r="R345" s="1"/>
      <c r="S345" s="1"/>
      <c r="T345" s="1"/>
      <c r="U345" s="1"/>
      <c r="V345" s="1"/>
      <c r="W345" s="1"/>
      <c r="Z345" s="3" t="s">
        <v>360</v>
      </c>
      <c r="AA345" s="49">
        <v>559.29999999999995</v>
      </c>
      <c r="AB345" s="34">
        <v>0</v>
      </c>
      <c r="AC345" s="35">
        <v>0</v>
      </c>
      <c r="AD345" s="35">
        <v>0</v>
      </c>
      <c r="AE345" s="35">
        <v>0</v>
      </c>
      <c r="AF345" s="24">
        <v>0</v>
      </c>
      <c r="AG345" s="21">
        <f>+AF345-AE345</f>
        <v>0</v>
      </c>
      <c r="AH345" s="42">
        <v>0</v>
      </c>
      <c r="AI345" s="42">
        <v>0</v>
      </c>
      <c r="AJ345" s="35">
        <v>0</v>
      </c>
      <c r="AK345" s="17">
        <f>+AG345+(AH345+AI345)-AJ345</f>
        <v>0</v>
      </c>
      <c r="AL345" s="42">
        <v>0</v>
      </c>
      <c r="AM345" s="42">
        <v>0</v>
      </c>
      <c r="AN345" s="35">
        <v>0</v>
      </c>
      <c r="AO345" s="24">
        <f>+AK345+AL345+AM345-AN345</f>
        <v>0</v>
      </c>
      <c r="AP345" s="42">
        <f t="shared" si="310"/>
        <v>0</v>
      </c>
      <c r="AQ345" s="42">
        <f>+(0)+(0)+(0)+(0)+(0)+(96)</f>
        <v>96</v>
      </c>
      <c r="AR345" s="68">
        <v>96</v>
      </c>
      <c r="AS345" s="71">
        <f>+AO345+AP345+AQ345-AR345</f>
        <v>0</v>
      </c>
      <c r="AT345" s="60">
        <f>+(75.6)+(0)+(54)+(0)+(54)+(0)</f>
        <v>183.6</v>
      </c>
      <c r="AU345" s="60">
        <f t="shared" si="311"/>
        <v>0</v>
      </c>
      <c r="AV345" s="94">
        <v>150</v>
      </c>
      <c r="AW345" s="71">
        <f t="shared" ref="AW345" si="527">+AS345+AT345+AU345-AV345</f>
        <v>33.599999999999994</v>
      </c>
      <c r="AX345" s="60">
        <f>+(0)+(0)+(0)+(115.8)</f>
        <v>115.8</v>
      </c>
      <c r="AY345" s="113">
        <f t="shared" si="252"/>
        <v>0</v>
      </c>
      <c r="AZ345" s="72">
        <v>149.4</v>
      </c>
      <c r="BA345" s="72">
        <f>(+AW345+AX345+AY345)-AZ345</f>
        <v>0</v>
      </c>
      <c r="BB345" s="125"/>
      <c r="BC345" s="125"/>
      <c r="BD345" s="125"/>
      <c r="BE345" s="125"/>
      <c r="BF345" s="125"/>
      <c r="BG345" s="125"/>
      <c r="BH345" s="125"/>
      <c r="BI345" s="125"/>
      <c r="BJ345" s="125"/>
      <c r="BK345" s="125"/>
      <c r="BL345" s="125"/>
      <c r="BM345" s="125"/>
      <c r="BN345" s="125"/>
      <c r="BO345" s="125"/>
      <c r="BP345" s="125"/>
      <c r="BQ345" s="125"/>
      <c r="BR345" s="125"/>
      <c r="BS345" s="125"/>
      <c r="BT345" s="125"/>
      <c r="BU345" s="95">
        <f t="shared" si="490"/>
        <v>954.69999999999993</v>
      </c>
    </row>
    <row r="346" spans="2:73" ht="22.8" thickBot="1" x14ac:dyDescent="0.55000000000000004">
      <c r="B346" s="3" t="s">
        <v>443</v>
      </c>
      <c r="C346" s="4" t="s">
        <v>165</v>
      </c>
      <c r="D346" s="11">
        <v>45313</v>
      </c>
      <c r="E346" s="5">
        <v>0</v>
      </c>
      <c r="F346" s="5">
        <f>+E346*$C$1</f>
        <v>0</v>
      </c>
      <c r="G346" s="5">
        <f t="shared" ref="G346" si="528">+BU346</f>
        <v>0</v>
      </c>
      <c r="H346" s="41">
        <f t="shared" ref="H346" si="529">+F346+G346</f>
        <v>0</v>
      </c>
      <c r="I346" s="73">
        <v>15</v>
      </c>
      <c r="J346" s="82"/>
      <c r="K346" s="7"/>
      <c r="L346" s="117" t="s">
        <v>441</v>
      </c>
      <c r="M346" s="7"/>
      <c r="N346" s="46" t="s">
        <v>302</v>
      </c>
      <c r="Z346" s="3" t="s">
        <v>443</v>
      </c>
      <c r="AA346" s="34"/>
      <c r="AB346" s="34"/>
      <c r="AC346" s="35"/>
      <c r="AD346" s="35"/>
      <c r="AE346" s="35"/>
      <c r="AF346" s="24"/>
      <c r="AG346" s="21"/>
      <c r="AH346" s="42"/>
      <c r="AI346" s="42"/>
      <c r="AJ346" s="35"/>
      <c r="AK346" s="17"/>
      <c r="AL346" s="42"/>
      <c r="AM346" s="42"/>
      <c r="AN346" s="35"/>
      <c r="AO346" s="65"/>
      <c r="AP346" s="42"/>
      <c r="AQ346" s="42"/>
      <c r="AR346" s="68"/>
      <c r="AS346" s="71"/>
      <c r="AT346" s="60"/>
      <c r="AU346" s="60"/>
      <c r="AV346" s="94"/>
      <c r="AW346" s="71"/>
      <c r="AX346" s="60"/>
      <c r="AY346" s="113"/>
      <c r="AZ346" s="72"/>
      <c r="BA346" s="72"/>
      <c r="BB346" s="125"/>
      <c r="BC346" s="125"/>
      <c r="BD346" s="125"/>
      <c r="BE346" s="125"/>
      <c r="BF346" s="125"/>
      <c r="BG346" s="125"/>
      <c r="BH346" s="125"/>
      <c r="BI346" s="125"/>
      <c r="BJ346" s="125"/>
      <c r="BK346" s="125"/>
      <c r="BL346" s="125"/>
      <c r="BM346" s="125"/>
      <c r="BN346" s="125"/>
      <c r="BO346" s="125"/>
      <c r="BP346" s="125"/>
      <c r="BQ346" s="125"/>
      <c r="BR346" s="125"/>
      <c r="BS346" s="125"/>
      <c r="BT346" s="125"/>
      <c r="BU346" s="95"/>
    </row>
    <row r="347" spans="2:73" ht="22.8" thickBot="1" x14ac:dyDescent="0.55000000000000004">
      <c r="B347" s="3" t="s">
        <v>435</v>
      </c>
      <c r="C347" s="4" t="s">
        <v>165</v>
      </c>
      <c r="D347" s="11">
        <v>45358</v>
      </c>
      <c r="E347" s="5">
        <v>0</v>
      </c>
      <c r="F347" s="5">
        <f t="shared" ref="F347" si="530">+E347*$C$1</f>
        <v>0</v>
      </c>
      <c r="G347" s="5">
        <f t="shared" ref="G347" si="531">+BU347</f>
        <v>0</v>
      </c>
      <c r="H347" s="41">
        <f t="shared" ref="H347" si="532">+F347+G347</f>
        <v>0</v>
      </c>
      <c r="I347" s="73">
        <v>15</v>
      </c>
      <c r="J347" s="82"/>
      <c r="K347" s="7"/>
      <c r="L347" s="25">
        <v>46088</v>
      </c>
      <c r="M347" s="7"/>
      <c r="N347" s="46" t="s">
        <v>302</v>
      </c>
      <c r="Z347" s="3" t="s">
        <v>435</v>
      </c>
      <c r="AA347" s="34">
        <v>0</v>
      </c>
      <c r="AB347" s="34">
        <v>0</v>
      </c>
      <c r="AC347" s="35">
        <v>0</v>
      </c>
      <c r="AD347" s="35">
        <v>0</v>
      </c>
      <c r="AE347" s="35">
        <v>0</v>
      </c>
      <c r="AF347" s="24">
        <v>0</v>
      </c>
      <c r="AG347" s="21">
        <f t="shared" ref="AG347:AG352" si="533">+AF347-AE347</f>
        <v>0</v>
      </c>
      <c r="AH347" s="42">
        <v>0</v>
      </c>
      <c r="AI347" s="42">
        <v>0</v>
      </c>
      <c r="AJ347" s="35">
        <v>0</v>
      </c>
      <c r="AK347" s="17">
        <f t="shared" ref="AK347:AK352" si="534">+AG347+(AH347+AI347)-AJ347</f>
        <v>0</v>
      </c>
      <c r="AL347" s="42">
        <v>0</v>
      </c>
      <c r="AM347" s="42">
        <v>0</v>
      </c>
      <c r="AN347" s="35">
        <v>0</v>
      </c>
      <c r="AO347" s="24">
        <f t="shared" ref="AO347:AO352" si="535">+AK347+AL347+AM347-AN347</f>
        <v>0</v>
      </c>
      <c r="AP347" s="42">
        <v>0</v>
      </c>
      <c r="AQ347" s="42">
        <v>0</v>
      </c>
      <c r="AR347" s="68">
        <v>0</v>
      </c>
      <c r="AS347" s="71">
        <f t="shared" ref="AS347:AS352" si="536">+AO347+AP347+AQ347-AR347</f>
        <v>0</v>
      </c>
      <c r="AT347" s="60">
        <v>0</v>
      </c>
      <c r="AU347" s="60">
        <v>0</v>
      </c>
      <c r="AV347" s="94">
        <v>0</v>
      </c>
      <c r="AW347" s="71">
        <f t="shared" ref="AW347:AW352" si="537">+AS347+AT347+AU347-AV347</f>
        <v>0</v>
      </c>
      <c r="AX347" s="60">
        <f t="shared" ref="AX347" si="538">+(0)+(0)+(0)+(0)</f>
        <v>0</v>
      </c>
      <c r="AY347" s="113">
        <f t="shared" si="252"/>
        <v>0</v>
      </c>
      <c r="AZ347" s="72">
        <v>0</v>
      </c>
      <c r="BA347" s="72">
        <f t="shared" ref="BA347" si="539">(+AW347+AX347+AY347)-AZ347</f>
        <v>0</v>
      </c>
      <c r="BB347" s="125"/>
      <c r="BC347" s="125"/>
      <c r="BD347" s="125"/>
      <c r="BE347" s="125"/>
      <c r="BF347" s="125"/>
      <c r="BG347" s="125"/>
      <c r="BH347" s="125"/>
      <c r="BI347" s="125"/>
      <c r="BJ347" s="125"/>
      <c r="BK347" s="125"/>
      <c r="BL347" s="125"/>
      <c r="BM347" s="125"/>
      <c r="BN347" s="125"/>
      <c r="BO347" s="125"/>
      <c r="BP347" s="125"/>
      <c r="BQ347" s="125"/>
      <c r="BR347" s="125"/>
      <c r="BS347" s="125"/>
      <c r="BT347" s="125"/>
      <c r="BU347" s="95">
        <f t="shared" ref="BU347:BU352" si="540">SUM(AA347:AD347)+AE347+AJ347+AN347+AR347+AV347+AZ347</f>
        <v>0</v>
      </c>
    </row>
    <row r="348" spans="2:73" ht="22.8" thickBot="1" x14ac:dyDescent="0.55000000000000004">
      <c r="B348" s="3" t="s">
        <v>437</v>
      </c>
      <c r="C348" s="4" t="s">
        <v>165</v>
      </c>
      <c r="D348" s="11">
        <v>45349</v>
      </c>
      <c r="E348" s="51">
        <v>0</v>
      </c>
      <c r="F348" s="5">
        <f>+E348*$C$1</f>
        <v>0</v>
      </c>
      <c r="G348" s="5">
        <f>+'BIENIOS EDUARDO FREI M.'!BU348</f>
        <v>0</v>
      </c>
      <c r="H348" s="41">
        <f>+F348+G348</f>
        <v>0</v>
      </c>
      <c r="I348" s="73">
        <v>15</v>
      </c>
      <c r="J348" s="82"/>
      <c r="K348" s="7"/>
      <c r="L348" s="52">
        <v>46080</v>
      </c>
      <c r="M348" s="7"/>
      <c r="N348" s="46" t="s">
        <v>302</v>
      </c>
      <c r="Z348" s="3" t="s">
        <v>437</v>
      </c>
      <c r="AA348" s="37">
        <v>0</v>
      </c>
      <c r="AB348" s="34">
        <v>0</v>
      </c>
      <c r="AC348" s="35">
        <v>0</v>
      </c>
      <c r="AD348" s="35">
        <v>0</v>
      </c>
      <c r="AE348" s="35">
        <v>0</v>
      </c>
      <c r="AF348" s="24">
        <v>0</v>
      </c>
      <c r="AG348" s="21">
        <f t="shared" si="533"/>
        <v>0</v>
      </c>
      <c r="AH348" s="42">
        <v>0</v>
      </c>
      <c r="AI348" s="42">
        <v>0</v>
      </c>
      <c r="AJ348" s="35">
        <v>0</v>
      </c>
      <c r="AK348" s="17">
        <f t="shared" si="534"/>
        <v>0</v>
      </c>
      <c r="AL348" s="42">
        <v>0</v>
      </c>
      <c r="AM348" s="42">
        <v>0</v>
      </c>
      <c r="AN348" s="35">
        <v>0</v>
      </c>
      <c r="AO348" s="65">
        <f t="shared" si="535"/>
        <v>0</v>
      </c>
      <c r="AP348" s="42">
        <v>0</v>
      </c>
      <c r="AQ348" s="42">
        <v>0</v>
      </c>
      <c r="AR348" s="68">
        <v>0</v>
      </c>
      <c r="AS348" s="71">
        <f t="shared" si="536"/>
        <v>0</v>
      </c>
      <c r="AT348" s="60">
        <v>0</v>
      </c>
      <c r="AU348" s="60">
        <v>0</v>
      </c>
      <c r="AV348" s="94">
        <v>0</v>
      </c>
      <c r="AW348" s="71">
        <f t="shared" si="537"/>
        <v>0</v>
      </c>
      <c r="AX348" s="60">
        <v>0</v>
      </c>
      <c r="AY348" s="113">
        <v>0</v>
      </c>
      <c r="AZ348" s="72">
        <v>0</v>
      </c>
      <c r="BA348" s="72">
        <f>(+AW348+AX348+AY348)-AZ348</f>
        <v>0</v>
      </c>
      <c r="BB348" s="125"/>
      <c r="BC348" s="125"/>
      <c r="BD348" s="125"/>
      <c r="BE348" s="125"/>
      <c r="BF348" s="125"/>
      <c r="BG348" s="125"/>
      <c r="BH348" s="125"/>
      <c r="BI348" s="125"/>
      <c r="BJ348" s="125"/>
      <c r="BK348" s="125"/>
      <c r="BL348" s="125"/>
      <c r="BM348" s="125"/>
      <c r="BN348" s="125"/>
      <c r="BO348" s="125"/>
      <c r="BP348" s="125"/>
      <c r="BQ348" s="125"/>
      <c r="BR348" s="125"/>
      <c r="BS348" s="125"/>
      <c r="BT348" s="125"/>
      <c r="BU348" s="95">
        <f t="shared" si="540"/>
        <v>0</v>
      </c>
    </row>
    <row r="349" spans="2:73" ht="22.8" thickBot="1" x14ac:dyDescent="0.55000000000000004">
      <c r="B349" s="3" t="s">
        <v>378</v>
      </c>
      <c r="C349" s="4" t="s">
        <v>162</v>
      </c>
      <c r="D349" s="11">
        <v>44776</v>
      </c>
      <c r="E349" s="51">
        <v>0</v>
      </c>
      <c r="F349" s="5">
        <f t="shared" ref="F349" si="541">+E349*$C$1</f>
        <v>0</v>
      </c>
      <c r="G349" s="5">
        <f>+'BIENIOS EDUARDO FREI M.'!BU349</f>
        <v>204</v>
      </c>
      <c r="H349" s="41">
        <f>+F349+G349</f>
        <v>204</v>
      </c>
      <c r="I349" s="73">
        <v>15</v>
      </c>
      <c r="J349" s="82"/>
      <c r="K349" s="7"/>
      <c r="L349" s="118">
        <v>45507</v>
      </c>
      <c r="M349" s="7"/>
      <c r="N349" s="46" t="s">
        <v>302</v>
      </c>
      <c r="Z349" s="3" t="s">
        <v>378</v>
      </c>
      <c r="AA349" s="37">
        <v>0</v>
      </c>
      <c r="AB349" s="34">
        <v>0</v>
      </c>
      <c r="AC349" s="35">
        <v>0</v>
      </c>
      <c r="AD349" s="35">
        <v>0</v>
      </c>
      <c r="AE349" s="35">
        <v>0</v>
      </c>
      <c r="AF349" s="24">
        <v>0</v>
      </c>
      <c r="AG349" s="21">
        <f t="shared" si="533"/>
        <v>0</v>
      </c>
      <c r="AH349" s="42">
        <v>0</v>
      </c>
      <c r="AI349" s="42">
        <v>0</v>
      </c>
      <c r="AJ349" s="35">
        <v>0</v>
      </c>
      <c r="AK349" s="17">
        <f t="shared" si="534"/>
        <v>0</v>
      </c>
      <c r="AL349" s="42">
        <v>0</v>
      </c>
      <c r="AM349" s="42">
        <v>0</v>
      </c>
      <c r="AN349" s="35">
        <v>0</v>
      </c>
      <c r="AO349" s="24">
        <f t="shared" si="535"/>
        <v>0</v>
      </c>
      <c r="AP349" s="42">
        <f t="shared" si="184"/>
        <v>0</v>
      </c>
      <c r="AQ349" s="42">
        <f>+(0)+(0)+(0)+(0)+(54)+(0)</f>
        <v>54</v>
      </c>
      <c r="AR349" s="68">
        <v>54</v>
      </c>
      <c r="AS349" s="71">
        <f t="shared" si="536"/>
        <v>0</v>
      </c>
      <c r="AT349" s="60">
        <f>+(96)+(0)+(0)+(0)+(54)+(0)</f>
        <v>150</v>
      </c>
      <c r="AU349" s="60">
        <f t="shared" si="185"/>
        <v>0</v>
      </c>
      <c r="AV349" s="94">
        <v>120</v>
      </c>
      <c r="AW349" s="71">
        <f t="shared" si="537"/>
        <v>30</v>
      </c>
      <c r="AX349" s="60">
        <f t="shared" si="255"/>
        <v>0</v>
      </c>
      <c r="AY349" s="113">
        <f t="shared" si="252"/>
        <v>0</v>
      </c>
      <c r="AZ349" s="72">
        <v>30</v>
      </c>
      <c r="BA349" s="72">
        <f>(+AW349+AX349+AY349)-AZ349</f>
        <v>0</v>
      </c>
      <c r="BB349" s="125"/>
      <c r="BC349" s="125"/>
      <c r="BD349" s="125"/>
      <c r="BE349" s="125"/>
      <c r="BF349" s="125"/>
      <c r="BG349" s="125"/>
      <c r="BH349" s="125"/>
      <c r="BI349" s="125"/>
      <c r="BJ349" s="125"/>
      <c r="BK349" s="125"/>
      <c r="BL349" s="125"/>
      <c r="BM349" s="125"/>
      <c r="BN349" s="125"/>
      <c r="BO349" s="125"/>
      <c r="BP349" s="125"/>
      <c r="BQ349" s="125"/>
      <c r="BR349" s="125"/>
      <c r="BS349" s="125"/>
      <c r="BT349" s="125"/>
      <c r="BU349" s="95">
        <f t="shared" si="540"/>
        <v>204</v>
      </c>
    </row>
    <row r="350" spans="2:73" ht="22.8" thickBot="1" x14ac:dyDescent="0.55000000000000004">
      <c r="B350" s="3" t="s">
        <v>432</v>
      </c>
      <c r="C350" s="4" t="s">
        <v>166</v>
      </c>
      <c r="D350" s="11">
        <v>45320</v>
      </c>
      <c r="E350" s="5">
        <v>0</v>
      </c>
      <c r="F350" s="5">
        <f t="shared" ref="F350" si="542">+E350*$C$1</f>
        <v>0</v>
      </c>
      <c r="G350" s="5">
        <f t="shared" ref="G350" si="543">+BU350</f>
        <v>0</v>
      </c>
      <c r="H350" s="41">
        <f t="shared" ref="H350" si="544">+F350+G350</f>
        <v>0</v>
      </c>
      <c r="I350" s="73">
        <v>15</v>
      </c>
      <c r="J350" s="82"/>
      <c r="K350" s="7"/>
      <c r="L350" s="25">
        <v>46051</v>
      </c>
      <c r="M350" s="7"/>
      <c r="N350" s="46" t="s">
        <v>302</v>
      </c>
      <c r="Z350" s="3" t="s">
        <v>432</v>
      </c>
      <c r="AA350" s="34">
        <v>0</v>
      </c>
      <c r="AB350" s="34">
        <v>0</v>
      </c>
      <c r="AC350" s="35">
        <v>0</v>
      </c>
      <c r="AD350" s="35">
        <v>0</v>
      </c>
      <c r="AE350" s="35">
        <v>0</v>
      </c>
      <c r="AF350" s="24">
        <v>0</v>
      </c>
      <c r="AG350" s="21">
        <f t="shared" si="533"/>
        <v>0</v>
      </c>
      <c r="AH350" s="42">
        <v>0</v>
      </c>
      <c r="AI350" s="42">
        <v>0</v>
      </c>
      <c r="AJ350" s="35">
        <v>0</v>
      </c>
      <c r="AK350" s="17">
        <f t="shared" si="534"/>
        <v>0</v>
      </c>
      <c r="AL350" s="42">
        <v>0</v>
      </c>
      <c r="AM350" s="42">
        <v>0</v>
      </c>
      <c r="AN350" s="35">
        <v>0</v>
      </c>
      <c r="AO350" s="24">
        <f t="shared" si="535"/>
        <v>0</v>
      </c>
      <c r="AP350" s="42">
        <v>0</v>
      </c>
      <c r="AQ350" s="42">
        <v>0</v>
      </c>
      <c r="AR350" s="68">
        <v>0</v>
      </c>
      <c r="AS350" s="71">
        <f t="shared" si="536"/>
        <v>0</v>
      </c>
      <c r="AT350" s="60">
        <v>0</v>
      </c>
      <c r="AU350" s="60">
        <v>0</v>
      </c>
      <c r="AV350" s="94">
        <v>0</v>
      </c>
      <c r="AW350" s="71">
        <f t="shared" si="537"/>
        <v>0</v>
      </c>
      <c r="AX350" s="60">
        <f t="shared" si="346"/>
        <v>0</v>
      </c>
      <c r="AY350" s="113">
        <f t="shared" si="252"/>
        <v>0</v>
      </c>
      <c r="AZ350" s="72">
        <v>0</v>
      </c>
      <c r="BA350" s="72">
        <f t="shared" ref="BA350" si="545">(+AW350+AX350+AY350)-AZ350</f>
        <v>0</v>
      </c>
      <c r="BB350" s="125"/>
      <c r="BC350" s="125"/>
      <c r="BD350" s="125"/>
      <c r="BE350" s="125"/>
      <c r="BF350" s="125"/>
      <c r="BG350" s="125"/>
      <c r="BH350" s="125"/>
      <c r="BI350" s="125"/>
      <c r="BJ350" s="125"/>
      <c r="BK350" s="125"/>
      <c r="BL350" s="125"/>
      <c r="BM350" s="125"/>
      <c r="BN350" s="125"/>
      <c r="BO350" s="125"/>
      <c r="BP350" s="125"/>
      <c r="BQ350" s="125"/>
      <c r="BR350" s="125"/>
      <c r="BS350" s="125"/>
      <c r="BT350" s="125"/>
      <c r="BU350" s="95">
        <f t="shared" si="540"/>
        <v>0</v>
      </c>
    </row>
    <row r="351" spans="2:73" ht="22.8" thickBot="1" x14ac:dyDescent="0.55000000000000004">
      <c r="B351" s="3" t="s">
        <v>448</v>
      </c>
      <c r="C351" s="4" t="s">
        <v>165</v>
      </c>
      <c r="D351" s="11">
        <v>45414</v>
      </c>
      <c r="E351" s="5">
        <v>0</v>
      </c>
      <c r="F351" s="5">
        <f t="shared" ref="F351" si="546">+E351*$C$1</f>
        <v>0</v>
      </c>
      <c r="G351" s="5">
        <f t="shared" ref="G351" si="547">+BU351</f>
        <v>0</v>
      </c>
      <c r="H351" s="41">
        <f t="shared" ref="H351" si="548">+F351+G351</f>
        <v>0</v>
      </c>
      <c r="I351" s="73">
        <v>14</v>
      </c>
      <c r="J351" s="82"/>
      <c r="K351" s="7"/>
      <c r="L351" s="25">
        <v>46144</v>
      </c>
      <c r="M351" s="7"/>
      <c r="N351" s="46" t="s">
        <v>302</v>
      </c>
      <c r="Z351" s="3" t="s">
        <v>448</v>
      </c>
      <c r="AA351" s="34">
        <v>0</v>
      </c>
      <c r="AB351" s="34">
        <v>0</v>
      </c>
      <c r="AC351" s="35">
        <v>0</v>
      </c>
      <c r="AD351" s="35">
        <v>0</v>
      </c>
      <c r="AE351" s="35">
        <v>0</v>
      </c>
      <c r="AF351" s="24">
        <v>0</v>
      </c>
      <c r="AG351" s="21">
        <f t="shared" si="533"/>
        <v>0</v>
      </c>
      <c r="AH351" s="42">
        <v>0</v>
      </c>
      <c r="AI351" s="42">
        <v>0</v>
      </c>
      <c r="AJ351" s="35">
        <v>0</v>
      </c>
      <c r="AK351" s="17">
        <f t="shared" si="534"/>
        <v>0</v>
      </c>
      <c r="AL351" s="42">
        <v>0</v>
      </c>
      <c r="AM351" s="42">
        <v>0</v>
      </c>
      <c r="AN351" s="35">
        <v>0</v>
      </c>
      <c r="AO351" s="24">
        <f t="shared" si="535"/>
        <v>0</v>
      </c>
      <c r="AP351" s="42">
        <v>0</v>
      </c>
      <c r="AQ351" s="42">
        <v>0</v>
      </c>
      <c r="AR351" s="68">
        <v>0</v>
      </c>
      <c r="AS351" s="71">
        <f t="shared" si="536"/>
        <v>0</v>
      </c>
      <c r="AT351" s="60">
        <v>0</v>
      </c>
      <c r="AU351" s="60">
        <v>0</v>
      </c>
      <c r="AV351" s="94">
        <v>0</v>
      </c>
      <c r="AW351" s="71">
        <f t="shared" si="537"/>
        <v>0</v>
      </c>
      <c r="AX351" s="60">
        <f t="shared" ref="AX351" si="549">+(0)+(0)+(0)+(0)</f>
        <v>0</v>
      </c>
      <c r="AY351" s="113">
        <f t="shared" si="16"/>
        <v>0</v>
      </c>
      <c r="AZ351" s="72">
        <v>0</v>
      </c>
      <c r="BA351" s="72">
        <f>(+AW351+AX351+AY351)-AZ351</f>
        <v>0</v>
      </c>
      <c r="BB351" s="125"/>
      <c r="BC351" s="125"/>
      <c r="BD351" s="125"/>
      <c r="BE351" s="125"/>
      <c r="BF351" s="125"/>
      <c r="BG351" s="125"/>
      <c r="BH351" s="125"/>
      <c r="BI351" s="125"/>
      <c r="BJ351" s="125"/>
      <c r="BK351" s="125"/>
      <c r="BL351" s="125"/>
      <c r="BM351" s="125"/>
      <c r="BN351" s="125"/>
      <c r="BO351" s="125"/>
      <c r="BP351" s="125"/>
      <c r="BQ351" s="125"/>
      <c r="BR351" s="125"/>
      <c r="BS351" s="125"/>
      <c r="BT351" s="125"/>
      <c r="BU351" s="95">
        <f t="shared" si="540"/>
        <v>0</v>
      </c>
    </row>
    <row r="352" spans="2:73" ht="22.8" thickBot="1" x14ac:dyDescent="0.55000000000000004">
      <c r="B352" s="3" t="s">
        <v>269</v>
      </c>
      <c r="C352" s="4" t="s">
        <v>166</v>
      </c>
      <c r="D352" s="11">
        <v>45404</v>
      </c>
      <c r="E352" s="5">
        <v>0</v>
      </c>
      <c r="F352" s="5">
        <f>+E352*$C$1</f>
        <v>0</v>
      </c>
      <c r="G352" s="5">
        <f t="shared" ref="G352" si="550">+BU352</f>
        <v>282</v>
      </c>
      <c r="H352" s="41">
        <f t="shared" ref="H352" si="551">+F352+G352</f>
        <v>282</v>
      </c>
      <c r="I352" s="120">
        <v>15</v>
      </c>
      <c r="J352" s="82"/>
      <c r="K352" s="7"/>
      <c r="L352" s="117" t="s">
        <v>441</v>
      </c>
      <c r="M352" s="7"/>
      <c r="N352" s="46" t="s">
        <v>302</v>
      </c>
      <c r="Z352" s="3" t="s">
        <v>269</v>
      </c>
      <c r="AA352" s="36">
        <v>0</v>
      </c>
      <c r="AB352" s="34">
        <v>0</v>
      </c>
      <c r="AC352" s="35">
        <v>0</v>
      </c>
      <c r="AD352" s="35">
        <v>0</v>
      </c>
      <c r="AE352" s="35">
        <v>0</v>
      </c>
      <c r="AF352" s="24">
        <v>0</v>
      </c>
      <c r="AG352" s="21">
        <f t="shared" si="533"/>
        <v>0</v>
      </c>
      <c r="AH352" s="42">
        <v>0</v>
      </c>
      <c r="AI352" s="42">
        <v>0</v>
      </c>
      <c r="AJ352" s="35">
        <v>0</v>
      </c>
      <c r="AK352" s="17">
        <f t="shared" si="534"/>
        <v>0</v>
      </c>
      <c r="AL352" s="42">
        <v>0</v>
      </c>
      <c r="AM352" s="42">
        <v>0</v>
      </c>
      <c r="AN352" s="35">
        <v>0</v>
      </c>
      <c r="AO352" s="24">
        <f t="shared" si="535"/>
        <v>0</v>
      </c>
      <c r="AP352" s="42">
        <v>0</v>
      </c>
      <c r="AQ352" s="42">
        <v>0</v>
      </c>
      <c r="AR352" s="68">
        <v>0</v>
      </c>
      <c r="AS352" s="71">
        <f t="shared" si="536"/>
        <v>0</v>
      </c>
      <c r="AT352" s="60">
        <f>+(0)+(0)+(0)+(0)+(54)+(0)</f>
        <v>54</v>
      </c>
      <c r="AU352" s="60">
        <f>+(0)+(228)+(0)+(0)+(0)+(0)</f>
        <v>228</v>
      </c>
      <c r="AV352" s="94">
        <v>150</v>
      </c>
      <c r="AW352" s="71">
        <f t="shared" si="537"/>
        <v>132</v>
      </c>
      <c r="AX352" s="60">
        <f t="shared" si="302"/>
        <v>0</v>
      </c>
      <c r="AY352" s="113">
        <f t="shared" si="252"/>
        <v>0</v>
      </c>
      <c r="AZ352" s="72">
        <v>132</v>
      </c>
      <c r="BA352" s="72">
        <f>(+AW352+AX352+AY352)-AZ352</f>
        <v>0</v>
      </c>
      <c r="BB352" s="125"/>
      <c r="BC352" s="125"/>
      <c r="BD352" s="125"/>
      <c r="BE352" s="125"/>
      <c r="BF352" s="125"/>
      <c r="BG352" s="125"/>
      <c r="BH352" s="125"/>
      <c r="BI352" s="125"/>
      <c r="BJ352" s="125"/>
      <c r="BK352" s="125"/>
      <c r="BL352" s="125"/>
      <c r="BM352" s="125"/>
      <c r="BN352" s="125"/>
      <c r="BO352" s="125"/>
      <c r="BP352" s="125"/>
      <c r="BQ352" s="125"/>
      <c r="BR352" s="125"/>
      <c r="BS352" s="125"/>
      <c r="BT352" s="125"/>
      <c r="BU352" s="95">
        <f t="shared" si="540"/>
        <v>282</v>
      </c>
    </row>
    <row r="353" spans="2:73" ht="22.8" thickBot="1" x14ac:dyDescent="0.55000000000000004">
      <c r="B353" s="3" t="s">
        <v>424</v>
      </c>
      <c r="C353" s="4" t="s">
        <v>166</v>
      </c>
      <c r="D353" s="11">
        <v>45292</v>
      </c>
      <c r="E353" s="5">
        <v>0</v>
      </c>
      <c r="F353" s="5">
        <f>+E353*$C$1</f>
        <v>0</v>
      </c>
      <c r="G353" s="5">
        <f t="shared" ref="G353" si="552">+BU353</f>
        <v>1261</v>
      </c>
      <c r="H353" s="41">
        <f t="shared" ref="H353" si="553">+F353+G353</f>
        <v>1261</v>
      </c>
      <c r="I353" s="73">
        <v>14</v>
      </c>
      <c r="J353" s="82"/>
      <c r="K353" s="123" t="s">
        <v>309</v>
      </c>
      <c r="L353" s="25">
        <v>46023</v>
      </c>
      <c r="M353" s="7"/>
      <c r="N353" s="46" t="s">
        <v>302</v>
      </c>
      <c r="Z353" s="3" t="s">
        <v>424</v>
      </c>
      <c r="AA353" s="70">
        <v>1261</v>
      </c>
      <c r="AB353" s="34">
        <v>0</v>
      </c>
      <c r="AC353" s="35">
        <v>0</v>
      </c>
      <c r="AD353" s="35">
        <v>0</v>
      </c>
      <c r="AE353" s="35">
        <v>0</v>
      </c>
      <c r="AF353" s="24">
        <v>0</v>
      </c>
      <c r="AG353" s="21">
        <f t="shared" ref="AG353:AG361" si="554">+AF353-AE353</f>
        <v>0</v>
      </c>
      <c r="AH353" s="42">
        <v>0</v>
      </c>
      <c r="AI353" s="42">
        <v>0</v>
      </c>
      <c r="AJ353" s="35">
        <v>0</v>
      </c>
      <c r="AK353" s="17">
        <f t="shared" ref="AK353:AK361" si="555">+AG353+(AH353+AI353)-AJ353</f>
        <v>0</v>
      </c>
      <c r="AL353" s="42">
        <v>0</v>
      </c>
      <c r="AM353" s="42">
        <v>0</v>
      </c>
      <c r="AN353" s="35">
        <v>0</v>
      </c>
      <c r="AO353" s="24">
        <f t="shared" ref="AO353:AO361" si="556">+AK353+AL353+AM353-AN353</f>
        <v>0</v>
      </c>
      <c r="AP353" s="42">
        <v>0</v>
      </c>
      <c r="AQ353" s="42">
        <v>0</v>
      </c>
      <c r="AR353" s="68">
        <v>0</v>
      </c>
      <c r="AS353" s="71">
        <f t="shared" ref="AS353:AS361" si="557">+AO353+AP353+AQ353-AR353</f>
        <v>0</v>
      </c>
      <c r="AT353" s="60">
        <v>0</v>
      </c>
      <c r="AU353" s="60">
        <v>0</v>
      </c>
      <c r="AV353" s="94">
        <v>0</v>
      </c>
      <c r="AW353" s="71">
        <f t="shared" ref="AW353:AW358" si="558">+AS353+AT353+AU353-AV353</f>
        <v>0</v>
      </c>
      <c r="AX353" s="60">
        <f t="shared" si="26"/>
        <v>0</v>
      </c>
      <c r="AY353" s="113">
        <f t="shared" si="16"/>
        <v>0</v>
      </c>
      <c r="AZ353" s="72">
        <v>0</v>
      </c>
      <c r="BA353" s="72">
        <f>(+AW353+AX353+AY353)-AZ353</f>
        <v>0</v>
      </c>
      <c r="BB353" s="125"/>
      <c r="BC353" s="125"/>
      <c r="BD353" s="125"/>
      <c r="BE353" s="125"/>
      <c r="BF353" s="125"/>
      <c r="BG353" s="125"/>
      <c r="BH353" s="125"/>
      <c r="BI353" s="125"/>
      <c r="BJ353" s="125"/>
      <c r="BK353" s="125"/>
      <c r="BL353" s="125"/>
      <c r="BM353" s="125"/>
      <c r="BN353" s="125"/>
      <c r="BO353" s="125"/>
      <c r="BP353" s="125"/>
      <c r="BQ353" s="125"/>
      <c r="BR353" s="125"/>
      <c r="BS353" s="125"/>
      <c r="BT353" s="125"/>
      <c r="BU353" s="95">
        <f>SUM(AA353:AD353)+AE353+AJ353+AN353+AR353+AV353</f>
        <v>1261</v>
      </c>
    </row>
    <row r="354" spans="2:73" ht="22.8" thickBot="1" x14ac:dyDescent="0.55000000000000004">
      <c r="B354" s="9" t="s">
        <v>20</v>
      </c>
      <c r="C354" s="4" t="s">
        <v>168</v>
      </c>
      <c r="D354" s="9" t="s">
        <v>104</v>
      </c>
      <c r="E354" s="5">
        <v>9</v>
      </c>
      <c r="F354" s="5">
        <f>+E354*$C$1</f>
        <v>4799.97</v>
      </c>
      <c r="G354" s="5">
        <f>+BU354</f>
        <v>2106.6</v>
      </c>
      <c r="H354" s="41">
        <f>+F354+G354</f>
        <v>6906.57</v>
      </c>
      <c r="I354" s="73">
        <v>6</v>
      </c>
      <c r="J354" s="82"/>
      <c r="K354" s="7"/>
      <c r="L354" s="25">
        <v>45748</v>
      </c>
      <c r="M354" s="7"/>
      <c r="N354" s="46" t="s">
        <v>302</v>
      </c>
      <c r="Z354" s="3" t="s">
        <v>20</v>
      </c>
      <c r="AA354" s="34">
        <v>1170</v>
      </c>
      <c r="AB354" s="34">
        <v>96</v>
      </c>
      <c r="AC354" s="35">
        <v>96</v>
      </c>
      <c r="AD354" s="35">
        <v>120</v>
      </c>
      <c r="AE354" s="35">
        <v>120</v>
      </c>
      <c r="AF354" s="24">
        <v>210.6</v>
      </c>
      <c r="AG354" s="21">
        <f t="shared" si="554"/>
        <v>90.6</v>
      </c>
      <c r="AH354" s="42">
        <v>0</v>
      </c>
      <c r="AI354" s="42">
        <f>+(0)+(0)+(0)+(156)+(54)+(54)</f>
        <v>264</v>
      </c>
      <c r="AJ354" s="35">
        <v>120</v>
      </c>
      <c r="AK354" s="17">
        <f t="shared" si="555"/>
        <v>234.60000000000002</v>
      </c>
      <c r="AL354" s="42">
        <f t="shared" si="33"/>
        <v>0</v>
      </c>
      <c r="AM354" s="42">
        <f>+(0)+(0)+(0)+(0)+(0)+(0)</f>
        <v>0</v>
      </c>
      <c r="AN354" s="35">
        <v>120</v>
      </c>
      <c r="AO354" s="24">
        <f t="shared" si="556"/>
        <v>114.60000000000002</v>
      </c>
      <c r="AP354" s="42">
        <f t="shared" si="27"/>
        <v>0</v>
      </c>
      <c r="AQ354" s="42">
        <f t="shared" si="27"/>
        <v>0</v>
      </c>
      <c r="AR354" s="68">
        <v>114.6</v>
      </c>
      <c r="AS354" s="71">
        <f t="shared" si="557"/>
        <v>0</v>
      </c>
      <c r="AT354" s="60">
        <f>+(0)+(0)+(0)+(0)+(54)+(0)</f>
        <v>54</v>
      </c>
      <c r="AU354" s="60">
        <f>+(0)+(96)+(0)+(0)+(0)+(0)</f>
        <v>96</v>
      </c>
      <c r="AV354" s="94">
        <v>120</v>
      </c>
      <c r="AW354" s="71">
        <f t="shared" si="558"/>
        <v>30</v>
      </c>
      <c r="AX354" s="60">
        <f t="shared" si="26"/>
        <v>0</v>
      </c>
      <c r="AY354" s="113">
        <f t="shared" si="16"/>
        <v>0</v>
      </c>
      <c r="AZ354" s="72">
        <v>30</v>
      </c>
      <c r="BA354" s="72">
        <f>(+AW354+AX354+AY354)-AZ354</f>
        <v>0</v>
      </c>
      <c r="BB354" s="125"/>
      <c r="BC354" s="125"/>
      <c r="BD354" s="125"/>
      <c r="BE354" s="125"/>
      <c r="BF354" s="125"/>
      <c r="BG354" s="125"/>
      <c r="BH354" s="125"/>
      <c r="BI354" s="125"/>
      <c r="BJ354" s="125"/>
      <c r="BK354" s="125"/>
      <c r="BL354" s="125"/>
      <c r="BM354" s="125"/>
      <c r="BN354" s="125"/>
      <c r="BO354" s="125"/>
      <c r="BP354" s="125"/>
      <c r="BQ354" s="125"/>
      <c r="BR354" s="125"/>
      <c r="BS354" s="125"/>
      <c r="BT354" s="125"/>
      <c r="BU354" s="95">
        <f t="shared" ref="BU354:BU363" si="559">SUM(AA354:AD354)+AE354+AJ354+AN354+AR354+AV354+AZ354</f>
        <v>2106.6</v>
      </c>
    </row>
    <row r="355" spans="2:73" ht="22.8" thickBot="1" x14ac:dyDescent="0.55000000000000004">
      <c r="B355" s="3" t="s">
        <v>426</v>
      </c>
      <c r="C355" s="4" t="s">
        <v>354</v>
      </c>
      <c r="D355" s="11">
        <v>45078</v>
      </c>
      <c r="E355" s="5">
        <v>0</v>
      </c>
      <c r="F355" s="5">
        <f t="shared" ref="F355" si="560">+E355*$C$1</f>
        <v>0</v>
      </c>
      <c r="G355" s="5">
        <f t="shared" ref="G355" si="561">+BU355</f>
        <v>120</v>
      </c>
      <c r="H355" s="41">
        <f t="shared" ref="H355" si="562">+F355+G355</f>
        <v>120</v>
      </c>
      <c r="I355" s="73">
        <v>15</v>
      </c>
      <c r="J355" s="112"/>
      <c r="K355" s="7"/>
      <c r="L355" s="25">
        <v>45809</v>
      </c>
      <c r="M355" s="7"/>
      <c r="N355" s="46" t="s">
        <v>302</v>
      </c>
      <c r="Z355" s="3" t="s">
        <v>426</v>
      </c>
      <c r="AA355" s="36">
        <v>0</v>
      </c>
      <c r="AB355" s="34">
        <v>0</v>
      </c>
      <c r="AC355" s="35">
        <v>0</v>
      </c>
      <c r="AD355" s="35">
        <v>0</v>
      </c>
      <c r="AE355" s="35">
        <v>0</v>
      </c>
      <c r="AF355" s="24">
        <v>0</v>
      </c>
      <c r="AG355" s="21">
        <f t="shared" si="554"/>
        <v>0</v>
      </c>
      <c r="AH355" s="42">
        <v>0</v>
      </c>
      <c r="AI355" s="42">
        <v>0</v>
      </c>
      <c r="AJ355" s="35">
        <v>0</v>
      </c>
      <c r="AK355" s="17">
        <f t="shared" si="555"/>
        <v>0</v>
      </c>
      <c r="AL355" s="42">
        <v>0</v>
      </c>
      <c r="AM355" s="42">
        <v>0</v>
      </c>
      <c r="AN355" s="35">
        <v>0</v>
      </c>
      <c r="AO355" s="65">
        <f t="shared" si="556"/>
        <v>0</v>
      </c>
      <c r="AP355" s="42">
        <v>0</v>
      </c>
      <c r="AQ355" s="42">
        <v>0</v>
      </c>
      <c r="AR355" s="68">
        <v>0</v>
      </c>
      <c r="AS355" s="71">
        <f t="shared" si="557"/>
        <v>0</v>
      </c>
      <c r="AT355" s="60">
        <v>0</v>
      </c>
      <c r="AU355" s="60">
        <v>0</v>
      </c>
      <c r="AV355" s="94">
        <v>0</v>
      </c>
      <c r="AW355" s="71">
        <f t="shared" si="558"/>
        <v>0</v>
      </c>
      <c r="AX355" s="60">
        <f t="shared" si="148"/>
        <v>0</v>
      </c>
      <c r="AY355" s="113">
        <f>+(186)+(0)+(174)+(0)+(0)+(0)+(0)+(0)</f>
        <v>360</v>
      </c>
      <c r="AZ355" s="72">
        <v>120</v>
      </c>
      <c r="BA355" s="72">
        <f t="shared" ref="BA355" si="563">(+AW355+AX355+AY355)-AZ355</f>
        <v>240</v>
      </c>
      <c r="BB355" s="125"/>
      <c r="BC355" s="125"/>
      <c r="BD355" s="125"/>
      <c r="BE355" s="125"/>
      <c r="BF355" s="125"/>
      <c r="BG355" s="125"/>
      <c r="BH355" s="125"/>
      <c r="BI355" s="125"/>
      <c r="BJ355" s="125"/>
      <c r="BK355" s="125"/>
      <c r="BL355" s="125"/>
      <c r="BM355" s="125"/>
      <c r="BN355" s="125"/>
      <c r="BO355" s="125"/>
      <c r="BP355" s="125"/>
      <c r="BQ355" s="125"/>
      <c r="BR355" s="125"/>
      <c r="BS355" s="125"/>
      <c r="BT355" s="125"/>
      <c r="BU355" s="95">
        <f t="shared" si="559"/>
        <v>120</v>
      </c>
    </row>
    <row r="356" spans="2:73" ht="22.8" thickBot="1" x14ac:dyDescent="0.55000000000000004">
      <c r="B356" s="3" t="s">
        <v>435</v>
      </c>
      <c r="C356" s="4" t="s">
        <v>165</v>
      </c>
      <c r="D356" s="11">
        <v>45414</v>
      </c>
      <c r="E356" s="5">
        <v>0</v>
      </c>
      <c r="F356" s="5">
        <f t="shared" ref="F356" si="564">+E356*$C$1</f>
        <v>0</v>
      </c>
      <c r="G356" s="5">
        <f t="shared" ref="G356" si="565">+BU356</f>
        <v>0</v>
      </c>
      <c r="H356" s="41">
        <f t="shared" ref="H356" si="566">+F356+G356</f>
        <v>0</v>
      </c>
      <c r="I356" s="73">
        <v>15</v>
      </c>
      <c r="J356" s="82"/>
      <c r="K356" s="7"/>
      <c r="L356" s="25">
        <v>46144</v>
      </c>
      <c r="M356" s="7"/>
      <c r="N356" s="46" t="s">
        <v>302</v>
      </c>
      <c r="Z356" s="3" t="s">
        <v>435</v>
      </c>
      <c r="AA356" s="34">
        <v>0</v>
      </c>
      <c r="AB356" s="34">
        <v>0</v>
      </c>
      <c r="AC356" s="35">
        <v>0</v>
      </c>
      <c r="AD356" s="35">
        <v>0</v>
      </c>
      <c r="AE356" s="35">
        <v>0</v>
      </c>
      <c r="AF356" s="24">
        <v>0</v>
      </c>
      <c r="AG356" s="21">
        <f t="shared" si="554"/>
        <v>0</v>
      </c>
      <c r="AH356" s="42">
        <v>0</v>
      </c>
      <c r="AI356" s="42">
        <v>0</v>
      </c>
      <c r="AJ356" s="35">
        <v>0</v>
      </c>
      <c r="AK356" s="17">
        <f t="shared" si="555"/>
        <v>0</v>
      </c>
      <c r="AL356" s="42">
        <v>0</v>
      </c>
      <c r="AM356" s="42">
        <v>0</v>
      </c>
      <c r="AN356" s="35">
        <v>0</v>
      </c>
      <c r="AO356" s="24">
        <f t="shared" si="556"/>
        <v>0</v>
      </c>
      <c r="AP356" s="42">
        <v>0</v>
      </c>
      <c r="AQ356" s="42">
        <v>0</v>
      </c>
      <c r="AR356" s="68">
        <v>0</v>
      </c>
      <c r="AS356" s="71">
        <f t="shared" si="557"/>
        <v>0</v>
      </c>
      <c r="AT356" s="60">
        <v>0</v>
      </c>
      <c r="AU356" s="60">
        <v>0</v>
      </c>
      <c r="AV356" s="94">
        <v>0</v>
      </c>
      <c r="AW356" s="71">
        <f t="shared" si="558"/>
        <v>0</v>
      </c>
      <c r="AX356" s="60">
        <f t="shared" ref="AX356" si="567">+(0)+(0)+(0)+(0)</f>
        <v>0</v>
      </c>
      <c r="AY356" s="113">
        <f t="shared" si="252"/>
        <v>0</v>
      </c>
      <c r="AZ356" s="72">
        <v>0</v>
      </c>
      <c r="BA356" s="72">
        <f t="shared" ref="BA356" si="568">(+AW356+AX356+AY356)-AZ356</f>
        <v>0</v>
      </c>
      <c r="BB356" s="125"/>
      <c r="BC356" s="125"/>
      <c r="BD356" s="125"/>
      <c r="BE356" s="125"/>
      <c r="BF356" s="125"/>
      <c r="BG356" s="125"/>
      <c r="BH356" s="125"/>
      <c r="BI356" s="125"/>
      <c r="BJ356" s="125"/>
      <c r="BK356" s="125"/>
      <c r="BL356" s="125"/>
      <c r="BM356" s="125"/>
      <c r="BN356" s="125"/>
      <c r="BO356" s="125"/>
      <c r="BP356" s="125"/>
      <c r="BQ356" s="125"/>
      <c r="BR356" s="125"/>
      <c r="BS356" s="125"/>
      <c r="BT356" s="125"/>
      <c r="BU356" s="95">
        <f t="shared" si="559"/>
        <v>0</v>
      </c>
    </row>
    <row r="357" spans="2:73" ht="22.8" thickBot="1" x14ac:dyDescent="0.55000000000000004">
      <c r="B357" s="3" t="s">
        <v>70</v>
      </c>
      <c r="C357" s="4" t="s">
        <v>166</v>
      </c>
      <c r="D357" s="3" t="s">
        <v>147</v>
      </c>
      <c r="E357" s="5">
        <v>15</v>
      </c>
      <c r="F357" s="5">
        <f>+E357*$C$1</f>
        <v>7999.9500000000007</v>
      </c>
      <c r="G357" s="5">
        <f>+BU357</f>
        <v>2679.2</v>
      </c>
      <c r="H357" s="41">
        <f>+F357+G357</f>
        <v>10679.150000000001</v>
      </c>
      <c r="I357" s="73">
        <v>3</v>
      </c>
      <c r="J357" s="82"/>
      <c r="K357" s="7"/>
      <c r="L357" s="25"/>
      <c r="M357" s="7"/>
      <c r="N357" s="46" t="s">
        <v>302</v>
      </c>
      <c r="Z357" s="3" t="s">
        <v>70</v>
      </c>
      <c r="AA357" s="34">
        <v>1516</v>
      </c>
      <c r="AB357" s="34">
        <v>150</v>
      </c>
      <c r="AC357" s="35">
        <v>118.6</v>
      </c>
      <c r="AD357" s="35">
        <v>150</v>
      </c>
      <c r="AE357" s="35">
        <v>150</v>
      </c>
      <c r="AF357" s="24">
        <v>210.6</v>
      </c>
      <c r="AG357" s="21">
        <f t="shared" si="554"/>
        <v>60.599999999999994</v>
      </c>
      <c r="AH357" s="42">
        <v>78</v>
      </c>
      <c r="AI357" s="42">
        <f>+(54)+(78)+(0)+(0)+(0)+(162)</f>
        <v>294</v>
      </c>
      <c r="AJ357" s="35">
        <v>150</v>
      </c>
      <c r="AK357" s="17">
        <f t="shared" si="555"/>
        <v>282.60000000000002</v>
      </c>
      <c r="AL357" s="42">
        <f>+(0)+(0)+(0)+(0)+(0)+(0)</f>
        <v>0</v>
      </c>
      <c r="AM357" s="42">
        <f>+(0)+(0)+(0)+(0)+(0)+(0)</f>
        <v>0</v>
      </c>
      <c r="AN357" s="35">
        <v>150</v>
      </c>
      <c r="AO357" s="24">
        <f t="shared" si="556"/>
        <v>132.60000000000002</v>
      </c>
      <c r="AP357" s="42">
        <f>+(0)+(0)+(0)+(0)+(0)+(0)</f>
        <v>0</v>
      </c>
      <c r="AQ357" s="42">
        <f>+(0)+(0)+(0)+(0)+(0)+(0)</f>
        <v>0</v>
      </c>
      <c r="AR357" s="68">
        <v>132.6</v>
      </c>
      <c r="AS357" s="71">
        <f t="shared" si="557"/>
        <v>0</v>
      </c>
      <c r="AT357" s="60">
        <f>+(108)+(0)+(0)+(0)+(54)+(0)</f>
        <v>162</v>
      </c>
      <c r="AU357" s="60">
        <f>+(0)+(0)+(0)+(0)+(0)+(0)</f>
        <v>0</v>
      </c>
      <c r="AV357" s="94">
        <v>150</v>
      </c>
      <c r="AW357" s="71">
        <f t="shared" si="558"/>
        <v>12</v>
      </c>
      <c r="AX357" s="60">
        <f>+(0)+(0)+(0)+(0)</f>
        <v>0</v>
      </c>
      <c r="AY357" s="113">
        <f>+(0)+(0)+(0)+(0)+(0)+(0)+(0)+(0)</f>
        <v>0</v>
      </c>
      <c r="AZ357" s="72">
        <v>12</v>
      </c>
      <c r="BA357" s="72">
        <f>(+AW357+AX357+AY357)-AZ357</f>
        <v>0</v>
      </c>
      <c r="BB357" s="125"/>
      <c r="BC357" s="125"/>
      <c r="BD357" s="125"/>
      <c r="BE357" s="125"/>
      <c r="BF357" s="125"/>
      <c r="BG357" s="125"/>
      <c r="BH357" s="125"/>
      <c r="BI357" s="125"/>
      <c r="BJ357" s="125"/>
      <c r="BK357" s="125"/>
      <c r="BL357" s="125"/>
      <c r="BM357" s="125"/>
      <c r="BN357" s="125"/>
      <c r="BO357" s="125"/>
      <c r="BP357" s="125"/>
      <c r="BQ357" s="125"/>
      <c r="BR357" s="125"/>
      <c r="BS357" s="125"/>
      <c r="BT357" s="125"/>
      <c r="BU357" s="95">
        <f t="shared" si="559"/>
        <v>2679.2</v>
      </c>
    </row>
    <row r="358" spans="2:73" ht="22.8" thickBot="1" x14ac:dyDescent="0.55000000000000004">
      <c r="B358" s="3" t="s">
        <v>226</v>
      </c>
      <c r="C358" s="4" t="s">
        <v>165</v>
      </c>
      <c r="D358" s="3"/>
      <c r="E358" s="5">
        <v>8</v>
      </c>
      <c r="F358" s="5">
        <f>+E358*$C$1</f>
        <v>4266.6400000000003</v>
      </c>
      <c r="G358" s="5">
        <f>+BU358</f>
        <v>2493</v>
      </c>
      <c r="H358" s="41">
        <f>+F358+G358</f>
        <v>6759.64</v>
      </c>
      <c r="I358" s="73">
        <v>7</v>
      </c>
      <c r="J358" s="82"/>
      <c r="K358" s="7"/>
      <c r="L358" s="25">
        <v>45839</v>
      </c>
      <c r="M358" s="7"/>
      <c r="N358" s="46" t="s">
        <v>302</v>
      </c>
      <c r="Z358" s="3" t="s">
        <v>226</v>
      </c>
      <c r="AA358" s="36">
        <v>1611</v>
      </c>
      <c r="AB358" s="34">
        <v>0</v>
      </c>
      <c r="AC358" s="35">
        <v>0</v>
      </c>
      <c r="AD358" s="35">
        <v>150</v>
      </c>
      <c r="AE358" s="35">
        <v>150</v>
      </c>
      <c r="AF358" s="24">
        <v>264</v>
      </c>
      <c r="AG358" s="21">
        <f t="shared" si="554"/>
        <v>114</v>
      </c>
      <c r="AH358" s="42">
        <f>132+96</f>
        <v>228</v>
      </c>
      <c r="AI358" s="42">
        <f>+(0)+(0)+(0)+(0)+(0)+(54)</f>
        <v>54</v>
      </c>
      <c r="AJ358" s="35">
        <v>150</v>
      </c>
      <c r="AK358" s="17">
        <f t="shared" si="555"/>
        <v>246</v>
      </c>
      <c r="AL358" s="42">
        <f t="shared" si="201"/>
        <v>0</v>
      </c>
      <c r="AM358" s="42">
        <f>+(78)+(0)+(0)+(0)+(0)+(0)</f>
        <v>78</v>
      </c>
      <c r="AN358" s="35">
        <v>150</v>
      </c>
      <c r="AO358" s="24">
        <f t="shared" si="556"/>
        <v>174</v>
      </c>
      <c r="AP358" s="42">
        <f t="shared" si="184"/>
        <v>0</v>
      </c>
      <c r="AQ358" s="42">
        <f t="shared" si="184"/>
        <v>0</v>
      </c>
      <c r="AR358" s="68">
        <v>150</v>
      </c>
      <c r="AS358" s="71">
        <f t="shared" si="557"/>
        <v>24</v>
      </c>
      <c r="AT358" s="60">
        <f>+(108)+(0)+(0)+(0)+(0)+(0)</f>
        <v>108</v>
      </c>
      <c r="AU358" s="60">
        <f t="shared" si="185"/>
        <v>0</v>
      </c>
      <c r="AV358" s="94">
        <v>132</v>
      </c>
      <c r="AW358" s="71">
        <f t="shared" si="558"/>
        <v>0</v>
      </c>
      <c r="AX358" s="60">
        <f t="shared" si="302"/>
        <v>0</v>
      </c>
      <c r="AY358" s="113">
        <f t="shared" si="252"/>
        <v>0</v>
      </c>
      <c r="AZ358" s="72">
        <v>0</v>
      </c>
      <c r="BA358" s="72">
        <f>(+AW358+AX358+AY358)-AZ358</f>
        <v>0</v>
      </c>
      <c r="BB358" s="125"/>
      <c r="BC358" s="125"/>
      <c r="BD358" s="125"/>
      <c r="BE358" s="125"/>
      <c r="BF358" s="125"/>
      <c r="BG358" s="125"/>
      <c r="BH358" s="125"/>
      <c r="BI358" s="125"/>
      <c r="BJ358" s="125"/>
      <c r="BK358" s="125"/>
      <c r="BL358" s="125"/>
      <c r="BM358" s="125"/>
      <c r="BN358" s="125"/>
      <c r="BO358" s="125"/>
      <c r="BP358" s="125"/>
      <c r="BQ358" s="125"/>
      <c r="BR358" s="125"/>
      <c r="BS358" s="125"/>
      <c r="BT358" s="125"/>
      <c r="BU358" s="95">
        <f t="shared" si="559"/>
        <v>2493</v>
      </c>
    </row>
    <row r="359" spans="2:73" ht="22.8" thickBot="1" x14ac:dyDescent="0.55000000000000004">
      <c r="B359" s="3" t="s">
        <v>384</v>
      </c>
      <c r="C359" s="4" t="s">
        <v>166</v>
      </c>
      <c r="D359" s="11">
        <v>44818</v>
      </c>
      <c r="E359" s="5">
        <v>0</v>
      </c>
      <c r="F359" s="5">
        <f t="shared" ref="F359" si="569">+E359*$C$1</f>
        <v>0</v>
      </c>
      <c r="G359" s="5">
        <f t="shared" ref="G359" si="570">+BU359</f>
        <v>228</v>
      </c>
      <c r="H359" s="41">
        <f t="shared" ref="H359" si="571">+F359+G359</f>
        <v>228</v>
      </c>
      <c r="I359" s="73">
        <v>15</v>
      </c>
      <c r="J359" s="82"/>
      <c r="K359" s="7"/>
      <c r="L359" s="25">
        <v>45549</v>
      </c>
      <c r="M359" s="7"/>
      <c r="N359" s="46" t="s">
        <v>302</v>
      </c>
      <c r="Z359" s="3" t="s">
        <v>384</v>
      </c>
      <c r="AA359" s="36">
        <v>0</v>
      </c>
      <c r="AB359" s="34">
        <v>0</v>
      </c>
      <c r="AC359" s="35">
        <v>0</v>
      </c>
      <c r="AD359" s="35">
        <v>0</v>
      </c>
      <c r="AE359" s="35">
        <v>0</v>
      </c>
      <c r="AF359" s="24">
        <v>0</v>
      </c>
      <c r="AG359" s="21">
        <f t="shared" si="554"/>
        <v>0</v>
      </c>
      <c r="AH359" s="42">
        <v>0</v>
      </c>
      <c r="AI359" s="42">
        <v>0</v>
      </c>
      <c r="AJ359" s="35">
        <v>0</v>
      </c>
      <c r="AK359" s="17">
        <f t="shared" si="555"/>
        <v>0</v>
      </c>
      <c r="AL359" s="42">
        <v>0</v>
      </c>
      <c r="AM359" s="42">
        <v>0</v>
      </c>
      <c r="AN359" s="35">
        <v>0</v>
      </c>
      <c r="AO359" s="24">
        <f t="shared" si="556"/>
        <v>0</v>
      </c>
      <c r="AP359" s="42">
        <f t="shared" si="310"/>
        <v>0</v>
      </c>
      <c r="AQ359" s="42">
        <f>+(0)+(0)+(0)+(0)+(78)+(0)</f>
        <v>78</v>
      </c>
      <c r="AR359" s="68">
        <v>78</v>
      </c>
      <c r="AS359" s="71">
        <f t="shared" si="557"/>
        <v>0</v>
      </c>
      <c r="AT359" s="60">
        <f t="shared" si="311"/>
        <v>0</v>
      </c>
      <c r="AU359" s="60">
        <f t="shared" si="311"/>
        <v>0</v>
      </c>
      <c r="AV359" s="94">
        <v>0</v>
      </c>
      <c r="AW359" s="71">
        <f t="shared" ref="AW359" si="572">+AS359+AT359+AU359-AV359</f>
        <v>0</v>
      </c>
      <c r="AX359" s="60">
        <f>+(0)+(0)+(0)+(156)</f>
        <v>156</v>
      </c>
      <c r="AY359" s="113">
        <f t="shared" si="252"/>
        <v>0</v>
      </c>
      <c r="AZ359" s="72">
        <v>150</v>
      </c>
      <c r="BA359" s="72">
        <f>(+AW359+AX359+AY359)-AZ359</f>
        <v>6</v>
      </c>
      <c r="BB359" s="125"/>
      <c r="BC359" s="125"/>
      <c r="BD359" s="125"/>
      <c r="BE359" s="125"/>
      <c r="BF359" s="125"/>
      <c r="BG359" s="125"/>
      <c r="BH359" s="125"/>
      <c r="BI359" s="125"/>
      <c r="BJ359" s="125"/>
      <c r="BK359" s="125"/>
      <c r="BL359" s="125"/>
      <c r="BM359" s="125"/>
      <c r="BN359" s="125"/>
      <c r="BO359" s="125"/>
      <c r="BP359" s="125"/>
      <c r="BQ359" s="125"/>
      <c r="BR359" s="125"/>
      <c r="BS359" s="125"/>
      <c r="BT359" s="125"/>
      <c r="BU359" s="95">
        <f t="shared" si="559"/>
        <v>228</v>
      </c>
    </row>
    <row r="360" spans="2:73" ht="22.8" thickBot="1" x14ac:dyDescent="0.55000000000000004">
      <c r="B360" s="3" t="s">
        <v>81</v>
      </c>
      <c r="C360" s="4" t="s">
        <v>169</v>
      </c>
      <c r="D360" s="3" t="s">
        <v>110</v>
      </c>
      <c r="E360" s="5">
        <v>14</v>
      </c>
      <c r="F360" s="5">
        <f>+E360*$C$1</f>
        <v>7466.6200000000008</v>
      </c>
      <c r="G360" s="5">
        <f>+BU360</f>
        <v>2071.6</v>
      </c>
      <c r="H360" s="41">
        <f>+F360+G360</f>
        <v>9538.2200000000012</v>
      </c>
      <c r="I360" s="73">
        <v>3</v>
      </c>
      <c r="J360" s="82"/>
      <c r="K360" s="7"/>
      <c r="L360" s="25">
        <v>45536</v>
      </c>
      <c r="M360" s="7"/>
      <c r="N360" s="46" t="s">
        <v>302</v>
      </c>
      <c r="Z360" s="3" t="s">
        <v>81</v>
      </c>
      <c r="AA360" s="36">
        <v>1504</v>
      </c>
      <c r="AB360" s="34">
        <v>96</v>
      </c>
      <c r="AC360" s="35">
        <v>108</v>
      </c>
      <c r="AD360" s="35">
        <v>99.6</v>
      </c>
      <c r="AE360" s="35">
        <v>120</v>
      </c>
      <c r="AF360" s="24">
        <v>156</v>
      </c>
      <c r="AG360" s="21">
        <f t="shared" si="554"/>
        <v>36</v>
      </c>
      <c r="AH360" s="42">
        <f>30+78</f>
        <v>108</v>
      </c>
      <c r="AI360" s="42">
        <f t="shared" si="357"/>
        <v>0</v>
      </c>
      <c r="AJ360" s="35">
        <v>120</v>
      </c>
      <c r="AK360" s="17">
        <f t="shared" si="555"/>
        <v>24</v>
      </c>
      <c r="AL360" s="42">
        <f t="shared" si="201"/>
        <v>0</v>
      </c>
      <c r="AM360" s="42">
        <f t="shared" si="201"/>
        <v>0</v>
      </c>
      <c r="AN360" s="35">
        <v>24</v>
      </c>
      <c r="AO360" s="24">
        <f t="shared" si="556"/>
        <v>0</v>
      </c>
      <c r="AP360" s="42">
        <f t="shared" si="310"/>
        <v>0</v>
      </c>
      <c r="AQ360" s="42">
        <f t="shared" si="310"/>
        <v>0</v>
      </c>
      <c r="AR360" s="68">
        <v>0</v>
      </c>
      <c r="AS360" s="71">
        <f t="shared" si="557"/>
        <v>0</v>
      </c>
      <c r="AT360" s="60">
        <f t="shared" si="311"/>
        <v>0</v>
      </c>
      <c r="AU360" s="60">
        <f t="shared" si="311"/>
        <v>0</v>
      </c>
      <c r="AV360" s="94">
        <v>0</v>
      </c>
      <c r="AW360" s="71">
        <f>+AS360+AT360+AU360-AV360</f>
        <v>0</v>
      </c>
      <c r="AX360" s="60">
        <f t="shared" si="302"/>
        <v>0</v>
      </c>
      <c r="AY360" s="113">
        <f t="shared" si="252"/>
        <v>0</v>
      </c>
      <c r="AZ360" s="72">
        <v>0</v>
      </c>
      <c r="BA360" s="72">
        <f>(+AW360+AX360+AY360)-AZ360</f>
        <v>0</v>
      </c>
      <c r="BB360" s="125"/>
      <c r="BC360" s="125"/>
      <c r="BD360" s="125"/>
      <c r="BE360" s="125"/>
      <c r="BF360" s="125"/>
      <c r="BG360" s="125"/>
      <c r="BH360" s="125"/>
      <c r="BI360" s="125"/>
      <c r="BJ360" s="125"/>
      <c r="BK360" s="125"/>
      <c r="BL360" s="125"/>
      <c r="BM360" s="125"/>
      <c r="BN360" s="125"/>
      <c r="BO360" s="125"/>
      <c r="BP360" s="125"/>
      <c r="BQ360" s="125"/>
      <c r="BR360" s="125"/>
      <c r="BS360" s="125"/>
      <c r="BT360" s="125"/>
      <c r="BU360" s="95">
        <f t="shared" si="559"/>
        <v>2071.6</v>
      </c>
    </row>
    <row r="361" spans="2:73" ht="22.8" thickBot="1" x14ac:dyDescent="0.55000000000000004">
      <c r="B361" s="3" t="s">
        <v>449</v>
      </c>
      <c r="C361" s="4" t="s">
        <v>164</v>
      </c>
      <c r="D361" s="11">
        <v>45422</v>
      </c>
      <c r="E361" s="5">
        <v>0</v>
      </c>
      <c r="F361" s="5">
        <f t="shared" ref="F361" si="573">+E361*$C$1</f>
        <v>0</v>
      </c>
      <c r="G361" s="5">
        <f t="shared" ref="G361" si="574">+BU361</f>
        <v>0</v>
      </c>
      <c r="H361" s="41">
        <f t="shared" ref="H361" si="575">+F361+G361</f>
        <v>0</v>
      </c>
      <c r="I361" s="73">
        <v>15</v>
      </c>
      <c r="J361" s="82"/>
      <c r="K361" s="7"/>
      <c r="L361" s="25">
        <v>46152</v>
      </c>
      <c r="M361" s="7"/>
      <c r="N361" s="46" t="s">
        <v>302</v>
      </c>
      <c r="Z361" s="3" t="s">
        <v>449</v>
      </c>
      <c r="AA361" s="36">
        <v>0</v>
      </c>
      <c r="AB361" s="34">
        <v>0</v>
      </c>
      <c r="AC361" s="35">
        <v>0</v>
      </c>
      <c r="AD361" s="35">
        <v>0</v>
      </c>
      <c r="AE361" s="35">
        <v>0</v>
      </c>
      <c r="AF361" s="24">
        <v>0</v>
      </c>
      <c r="AG361" s="21">
        <f t="shared" si="554"/>
        <v>0</v>
      </c>
      <c r="AH361" s="42">
        <v>0</v>
      </c>
      <c r="AI361" s="42">
        <v>0</v>
      </c>
      <c r="AJ361" s="35">
        <v>0</v>
      </c>
      <c r="AK361" s="17">
        <f t="shared" si="555"/>
        <v>0</v>
      </c>
      <c r="AL361" s="42">
        <v>0</v>
      </c>
      <c r="AM361" s="42">
        <v>0</v>
      </c>
      <c r="AN361" s="35">
        <v>0</v>
      </c>
      <c r="AO361" s="24">
        <f t="shared" si="556"/>
        <v>0</v>
      </c>
      <c r="AP361" s="42">
        <v>0</v>
      </c>
      <c r="AQ361" s="42">
        <v>0</v>
      </c>
      <c r="AR361" s="68">
        <v>0</v>
      </c>
      <c r="AS361" s="71">
        <f t="shared" si="557"/>
        <v>0</v>
      </c>
      <c r="AT361" s="60">
        <v>0</v>
      </c>
      <c r="AU361" s="60">
        <v>0</v>
      </c>
      <c r="AV361" s="94">
        <v>0</v>
      </c>
      <c r="AW361" s="71">
        <f t="shared" ref="AW361" si="576">+AS361+AT361+AU361-AV361</f>
        <v>0</v>
      </c>
      <c r="AX361" s="60">
        <f t="shared" ref="AX361" si="577">+(0)+(0)+(0)+(0)</f>
        <v>0</v>
      </c>
      <c r="AY361" s="113">
        <f t="shared" ref="AY361" si="578">+(0)+(0)+(0)+(0)+(0)+(0)+(0)+(0)</f>
        <v>0</v>
      </c>
      <c r="AZ361" s="72">
        <v>0</v>
      </c>
      <c r="BA361" s="72">
        <f t="shared" ref="BA361" si="579">(+AW361+AX361+AY361)-AZ361</f>
        <v>0</v>
      </c>
      <c r="BB361" s="125"/>
      <c r="BC361" s="125"/>
      <c r="BD361" s="125"/>
      <c r="BE361" s="125"/>
      <c r="BF361" s="125"/>
      <c r="BG361" s="125"/>
      <c r="BH361" s="125"/>
      <c r="BI361" s="125"/>
      <c r="BJ361" s="125"/>
      <c r="BK361" s="125"/>
      <c r="BL361" s="125"/>
      <c r="BM361" s="125"/>
      <c r="BN361" s="125"/>
      <c r="BO361" s="125"/>
      <c r="BP361" s="125"/>
      <c r="BQ361" s="125"/>
      <c r="BR361" s="125"/>
      <c r="BS361" s="125"/>
      <c r="BT361" s="125"/>
      <c r="BU361" s="95">
        <f t="shared" si="559"/>
        <v>0</v>
      </c>
    </row>
    <row r="362" spans="2:73" ht="22.8" thickBot="1" x14ac:dyDescent="0.55000000000000004">
      <c r="B362" s="3" t="s">
        <v>399</v>
      </c>
      <c r="C362" s="4" t="s">
        <v>168</v>
      </c>
      <c r="D362" s="10">
        <v>44991</v>
      </c>
      <c r="E362" s="5">
        <v>0</v>
      </c>
      <c r="F362" s="5">
        <f>+E362*$C$1</f>
        <v>0</v>
      </c>
      <c r="G362" s="5">
        <f t="shared" ref="G362" si="580">+BU362</f>
        <v>174</v>
      </c>
      <c r="H362" s="41">
        <f t="shared" ref="H362" si="581">+F362+G362</f>
        <v>174</v>
      </c>
      <c r="I362" s="73">
        <v>15</v>
      </c>
      <c r="J362" s="82"/>
      <c r="K362" s="7"/>
      <c r="L362" s="117" t="s">
        <v>441</v>
      </c>
      <c r="M362" s="7"/>
      <c r="N362" s="46" t="s">
        <v>302</v>
      </c>
      <c r="Z362" s="3" t="s">
        <v>399</v>
      </c>
      <c r="AA362" s="34">
        <v>0</v>
      </c>
      <c r="AB362" s="34">
        <v>0</v>
      </c>
      <c r="AC362" s="35">
        <v>0</v>
      </c>
      <c r="AD362" s="35">
        <v>0</v>
      </c>
      <c r="AE362" s="35">
        <v>0</v>
      </c>
      <c r="AF362" s="24">
        <v>0</v>
      </c>
      <c r="AG362" s="21">
        <f>+AF362-AE362</f>
        <v>0</v>
      </c>
      <c r="AH362" s="42">
        <v>0</v>
      </c>
      <c r="AI362" s="42">
        <v>0</v>
      </c>
      <c r="AJ362" s="35">
        <v>0</v>
      </c>
      <c r="AK362" s="17">
        <f>+AG362+(AH362+AI362)-AJ362</f>
        <v>0</v>
      </c>
      <c r="AL362" s="42">
        <v>0</v>
      </c>
      <c r="AM362" s="42">
        <v>0</v>
      </c>
      <c r="AN362" s="35">
        <v>0</v>
      </c>
      <c r="AO362" s="24">
        <f>+AK362+AL362+AM362-AN362</f>
        <v>0</v>
      </c>
      <c r="AP362" s="42">
        <v>0</v>
      </c>
      <c r="AQ362" s="42">
        <v>0</v>
      </c>
      <c r="AR362" s="68">
        <v>0</v>
      </c>
      <c r="AS362" s="71">
        <f>+AO362+AP362+AQ362-AR362</f>
        <v>0</v>
      </c>
      <c r="AT362" s="60">
        <f t="shared" si="185"/>
        <v>0</v>
      </c>
      <c r="AU362" s="60">
        <f>+(0)+(54)+(0)+(0)+(0)+(0)</f>
        <v>54</v>
      </c>
      <c r="AV362" s="94">
        <v>54</v>
      </c>
      <c r="AW362" s="71">
        <f>+AS362+AT362+AU362-AV362</f>
        <v>0</v>
      </c>
      <c r="AX362" s="60">
        <f>+(0)+(0)+(108)+(78)</f>
        <v>186</v>
      </c>
      <c r="AY362" s="113">
        <f t="shared" si="149"/>
        <v>0</v>
      </c>
      <c r="AZ362" s="72">
        <v>120</v>
      </c>
      <c r="BA362" s="72">
        <f>(+AW362+AX362+AY362)-AZ362</f>
        <v>66</v>
      </c>
      <c r="BB362" s="125"/>
      <c r="BC362" s="125"/>
      <c r="BD362" s="125"/>
      <c r="BE362" s="125"/>
      <c r="BF362" s="125"/>
      <c r="BG362" s="125"/>
      <c r="BH362" s="125"/>
      <c r="BI362" s="125"/>
      <c r="BJ362" s="125"/>
      <c r="BK362" s="125"/>
      <c r="BL362" s="125"/>
      <c r="BM362" s="125"/>
      <c r="BN362" s="125"/>
      <c r="BO362" s="125"/>
      <c r="BP362" s="125"/>
      <c r="BQ362" s="125"/>
      <c r="BR362" s="125"/>
      <c r="BS362" s="125"/>
      <c r="BT362" s="125"/>
      <c r="BU362" s="95">
        <f t="shared" si="559"/>
        <v>174</v>
      </c>
    </row>
    <row r="363" spans="2:73" ht="22.8" thickBot="1" x14ac:dyDescent="0.55000000000000004">
      <c r="B363" s="3" t="s">
        <v>405</v>
      </c>
      <c r="C363" s="4" t="s">
        <v>168</v>
      </c>
      <c r="D363" s="11">
        <v>45063</v>
      </c>
      <c r="E363" s="5">
        <v>0</v>
      </c>
      <c r="F363" s="5">
        <f>+E363*$C$1</f>
        <v>0</v>
      </c>
      <c r="G363" s="5">
        <f t="shared" ref="G363" si="582">+BU363</f>
        <v>0</v>
      </c>
      <c r="H363" s="41">
        <f>+F363+G363</f>
        <v>0</v>
      </c>
      <c r="I363" s="73">
        <v>15</v>
      </c>
      <c r="J363" s="112"/>
      <c r="K363" s="7"/>
      <c r="L363" s="117" t="s">
        <v>441</v>
      </c>
      <c r="M363" s="7"/>
      <c r="N363" s="46" t="s">
        <v>302</v>
      </c>
      <c r="Z363" s="3" t="s">
        <v>405</v>
      </c>
      <c r="AA363" s="34">
        <v>0</v>
      </c>
      <c r="AB363" s="34">
        <v>0</v>
      </c>
      <c r="AC363" s="35">
        <v>0</v>
      </c>
      <c r="AD363" s="35">
        <v>0</v>
      </c>
      <c r="AE363" s="35">
        <v>0</v>
      </c>
      <c r="AF363" s="24">
        <v>0</v>
      </c>
      <c r="AG363" s="21">
        <f>+AF363-AE363</f>
        <v>0</v>
      </c>
      <c r="AH363" s="42">
        <v>0</v>
      </c>
      <c r="AI363" s="42">
        <v>0</v>
      </c>
      <c r="AJ363" s="35">
        <v>0</v>
      </c>
      <c r="AK363" s="17">
        <f>+AG363+(AH363+AI363)-AJ363</f>
        <v>0</v>
      </c>
      <c r="AL363" s="42">
        <v>0</v>
      </c>
      <c r="AM363" s="42">
        <v>0</v>
      </c>
      <c r="AN363" s="35">
        <v>0</v>
      </c>
      <c r="AO363" s="24">
        <f>+AK363+AL363+AM363-AN363</f>
        <v>0</v>
      </c>
      <c r="AP363" s="42">
        <v>0</v>
      </c>
      <c r="AQ363" s="42">
        <v>0</v>
      </c>
      <c r="AR363" s="68">
        <v>0</v>
      </c>
      <c r="AS363" s="71">
        <f>+AO363+AP363+AQ363-AR363</f>
        <v>0</v>
      </c>
      <c r="AT363" s="60">
        <f t="shared" si="185"/>
        <v>0</v>
      </c>
      <c r="AU363" s="60">
        <f t="shared" si="185"/>
        <v>0</v>
      </c>
      <c r="AV363" s="94">
        <v>0</v>
      </c>
      <c r="AW363" s="71">
        <f>+AS363+AT363+AU363-AV363</f>
        <v>0</v>
      </c>
      <c r="AX363" s="60">
        <f t="shared" si="222"/>
        <v>0</v>
      </c>
      <c r="AY363" s="113">
        <f t="shared" si="252"/>
        <v>0</v>
      </c>
      <c r="AZ363" s="72">
        <v>0</v>
      </c>
      <c r="BA363" s="72">
        <f>(+AW363+AX363+AY363)-AZ363</f>
        <v>0</v>
      </c>
      <c r="BB363" s="125"/>
      <c r="BC363" s="125"/>
      <c r="BD363" s="125"/>
      <c r="BE363" s="125"/>
      <c r="BF363" s="125"/>
      <c r="BG363" s="125"/>
      <c r="BH363" s="125"/>
      <c r="BI363" s="125"/>
      <c r="BJ363" s="125"/>
      <c r="BK363" s="125"/>
      <c r="BL363" s="125"/>
      <c r="BM363" s="125"/>
      <c r="BN363" s="125"/>
      <c r="BO363" s="125"/>
      <c r="BP363" s="125"/>
      <c r="BQ363" s="125"/>
      <c r="BR363" s="125"/>
      <c r="BS363" s="125"/>
      <c r="BT363" s="125"/>
      <c r="BU363" s="95">
        <f t="shared" si="559"/>
        <v>0</v>
      </c>
    </row>
    <row r="364" spans="2:73" ht="25.8" thickBot="1" x14ac:dyDescent="0.65">
      <c r="B364" s="3" t="s">
        <v>452</v>
      </c>
      <c r="C364" s="4" t="s">
        <v>168</v>
      </c>
      <c r="D364" s="10">
        <v>45448</v>
      </c>
      <c r="E364" s="5">
        <v>0</v>
      </c>
      <c r="F364" s="5">
        <f t="shared" ref="F364" si="583">+E364*$C$1</f>
        <v>0</v>
      </c>
      <c r="G364" s="5">
        <f t="shared" ref="G364" si="584">+BU364</f>
        <v>0</v>
      </c>
      <c r="H364" s="41">
        <f t="shared" ref="H364" si="585">+F364+G364</f>
        <v>0</v>
      </c>
      <c r="I364" s="73">
        <v>15</v>
      </c>
      <c r="J364" s="112"/>
      <c r="K364" s="7"/>
      <c r="L364" s="25">
        <v>46178</v>
      </c>
      <c r="M364" s="7"/>
      <c r="N364" s="46" t="s">
        <v>302</v>
      </c>
      <c r="Z364" s="3" t="s">
        <v>452</v>
      </c>
      <c r="AA364" s="34">
        <v>0</v>
      </c>
      <c r="AB364" s="34">
        <v>0</v>
      </c>
      <c r="AC364" s="35">
        <v>0</v>
      </c>
      <c r="AD364" s="35">
        <v>0</v>
      </c>
      <c r="AE364" s="35">
        <v>0</v>
      </c>
      <c r="AF364" s="24">
        <v>0</v>
      </c>
      <c r="AG364" s="21">
        <f>+AF364-AE364</f>
        <v>0</v>
      </c>
      <c r="AH364" s="42">
        <v>0</v>
      </c>
      <c r="AI364" s="42">
        <v>0</v>
      </c>
      <c r="AJ364" s="35">
        <v>0</v>
      </c>
      <c r="AK364" s="17">
        <f>+AG364+(AH364+AI364)-AJ364</f>
        <v>0</v>
      </c>
      <c r="AL364" s="42">
        <v>0</v>
      </c>
      <c r="AM364" s="42">
        <v>0</v>
      </c>
      <c r="AN364" s="35">
        <v>0</v>
      </c>
      <c r="AO364" s="24">
        <f>+AK364+AL364+AM364-AN364</f>
        <v>0</v>
      </c>
      <c r="AP364" s="42">
        <v>0</v>
      </c>
      <c r="AQ364" s="42">
        <v>0</v>
      </c>
      <c r="AR364" s="68">
        <v>0</v>
      </c>
      <c r="AS364" s="71">
        <f>+AO364+AP364+AQ364-AR364</f>
        <v>0</v>
      </c>
      <c r="AT364" s="60">
        <v>0</v>
      </c>
      <c r="AU364" s="60">
        <v>0</v>
      </c>
      <c r="AV364" s="94">
        <v>0</v>
      </c>
      <c r="AW364" s="71">
        <f>+AS364+AT364+AU364-AV364</f>
        <v>0</v>
      </c>
      <c r="AX364" s="60">
        <f t="shared" si="26"/>
        <v>0</v>
      </c>
      <c r="AY364" s="113">
        <f t="shared" si="16"/>
        <v>0</v>
      </c>
      <c r="AZ364" s="72">
        <v>0</v>
      </c>
      <c r="BA364" s="72">
        <f t="shared" ref="BA364" si="586">(+AW364+AX364+AY364)-AZ364</f>
        <v>0</v>
      </c>
      <c r="BB364" s="135">
        <f t="shared" si="17"/>
        <v>0</v>
      </c>
      <c r="BC364" s="135">
        <f t="shared" si="18"/>
        <v>0</v>
      </c>
      <c r="BD364" s="135">
        <v>0</v>
      </c>
      <c r="BE364" s="135">
        <f t="shared" ref="BE364:BE369" si="587">(BA364+BB364+BC364)-BD364</f>
        <v>0</v>
      </c>
      <c r="BF364" s="200"/>
      <c r="BG364" s="200"/>
      <c r="BH364" s="200"/>
      <c r="BI364" s="200"/>
      <c r="BJ364" s="200"/>
      <c r="BK364" s="200"/>
      <c r="BL364" s="200"/>
      <c r="BM364" s="200"/>
      <c r="BN364" s="200"/>
      <c r="BO364" s="200"/>
      <c r="BP364" s="200"/>
      <c r="BQ364" s="200"/>
      <c r="BR364" s="200"/>
      <c r="BS364" s="200"/>
      <c r="BT364" s="200"/>
      <c r="BU364" s="138">
        <f t="shared" ref="BU364:BU394" si="588">SUM(AA364:AD364)+AE364+AJ364+AN364+AR364+AV364+AZ364+BD364</f>
        <v>0</v>
      </c>
    </row>
    <row r="365" spans="2:73" ht="25.8" thickBot="1" x14ac:dyDescent="0.65">
      <c r="B365" s="3" t="s">
        <v>362</v>
      </c>
      <c r="C365" s="4" t="s">
        <v>165</v>
      </c>
      <c r="D365" s="11">
        <v>44643</v>
      </c>
      <c r="E365" s="5">
        <v>1</v>
      </c>
      <c r="F365" s="5">
        <f t="shared" ref="F365:F370" si="589">+E365*$C$1</f>
        <v>533.33000000000004</v>
      </c>
      <c r="G365" s="5">
        <f>+BU365</f>
        <v>528</v>
      </c>
      <c r="H365" s="41">
        <f>+F365+G365</f>
        <v>1061.33</v>
      </c>
      <c r="I365" s="73">
        <v>14</v>
      </c>
      <c r="J365" s="112">
        <v>14</v>
      </c>
      <c r="K365" s="7"/>
      <c r="L365" s="25">
        <v>46103</v>
      </c>
      <c r="M365" s="7"/>
      <c r="N365" s="46" t="s">
        <v>302</v>
      </c>
      <c r="Z365" s="3" t="s">
        <v>362</v>
      </c>
      <c r="AA365" s="34">
        <v>0</v>
      </c>
      <c r="AB365" s="34">
        <v>0</v>
      </c>
      <c r="AC365" s="35">
        <v>0</v>
      </c>
      <c r="AD365" s="35">
        <v>0</v>
      </c>
      <c r="AE365" s="35">
        <v>0</v>
      </c>
      <c r="AF365" s="24">
        <v>0</v>
      </c>
      <c r="AG365" s="21">
        <f>+AF365-AE365</f>
        <v>0</v>
      </c>
      <c r="AH365" s="42">
        <v>0</v>
      </c>
      <c r="AI365" s="42">
        <v>0</v>
      </c>
      <c r="AJ365" s="35">
        <v>0</v>
      </c>
      <c r="AK365" s="17">
        <f>+AG365+(AH365+AI365)-AJ365</f>
        <v>0</v>
      </c>
      <c r="AL365" s="42">
        <v>0</v>
      </c>
      <c r="AM365" s="42">
        <v>0</v>
      </c>
      <c r="AN365" s="35">
        <v>0</v>
      </c>
      <c r="AO365" s="24">
        <f>+AK365+AL365+AM365-AN365</f>
        <v>0</v>
      </c>
      <c r="AP365" s="42">
        <f t="shared" si="8"/>
        <v>0</v>
      </c>
      <c r="AQ365" s="42">
        <f>+(0)+(0)+(0)+(0)+(132)+(192)</f>
        <v>324</v>
      </c>
      <c r="AR365" s="68">
        <v>150</v>
      </c>
      <c r="AS365" s="71">
        <f>+AO365+AP365+AQ365-AR365</f>
        <v>174</v>
      </c>
      <c r="AT365" s="60">
        <f>+(0)+(0)+(0)+(0)+(54)+(0)</f>
        <v>54</v>
      </c>
      <c r="AU365" s="60">
        <f t="shared" si="15"/>
        <v>0</v>
      </c>
      <c r="AV365" s="94">
        <v>150</v>
      </c>
      <c r="AW365" s="71">
        <f>+AS365+AT365+AU365-AV365</f>
        <v>78</v>
      </c>
      <c r="AX365" s="60">
        <f>+(0)+(0)+(0)+(96)</f>
        <v>96</v>
      </c>
      <c r="AY365" s="113">
        <f>+(54)+(0)+(0)+(0)+(0)+(0)+(0)+(0)</f>
        <v>54</v>
      </c>
      <c r="AZ365" s="72">
        <v>150</v>
      </c>
      <c r="BA365" s="72">
        <f>(+AW365+AX365+AY365)-AZ365</f>
        <v>78</v>
      </c>
      <c r="BB365" s="135">
        <f t="shared" si="17"/>
        <v>0</v>
      </c>
      <c r="BC365" s="135">
        <f t="shared" si="18"/>
        <v>0</v>
      </c>
      <c r="BD365" s="135">
        <v>78</v>
      </c>
      <c r="BE365" s="135">
        <f t="shared" si="587"/>
        <v>0</v>
      </c>
      <c r="BF365" s="200"/>
      <c r="BG365" s="200"/>
      <c r="BH365" s="200"/>
      <c r="BI365" s="200"/>
      <c r="BJ365" s="200"/>
      <c r="BK365" s="200"/>
      <c r="BL365" s="200"/>
      <c r="BM365" s="200"/>
      <c r="BN365" s="200"/>
      <c r="BO365" s="200"/>
      <c r="BP365" s="200"/>
      <c r="BQ365" s="200"/>
      <c r="BR365" s="200"/>
      <c r="BS365" s="200"/>
      <c r="BT365" s="200"/>
      <c r="BU365" s="138">
        <f t="shared" si="588"/>
        <v>528</v>
      </c>
    </row>
    <row r="366" spans="2:73" ht="25.8" thickBot="1" x14ac:dyDescent="0.65">
      <c r="B366" s="3" t="s">
        <v>464</v>
      </c>
      <c r="C366" s="4" t="s">
        <v>354</v>
      </c>
      <c r="D366" s="11">
        <v>45530</v>
      </c>
      <c r="E366" s="5">
        <v>0</v>
      </c>
      <c r="F366" s="5">
        <f t="shared" si="589"/>
        <v>0</v>
      </c>
      <c r="G366" s="5">
        <f t="shared" ref="G366" si="590">+BU366</f>
        <v>0</v>
      </c>
      <c r="H366" s="41">
        <f t="shared" ref="H366" si="591">+F366+G366</f>
        <v>0</v>
      </c>
      <c r="I366" s="73">
        <v>12</v>
      </c>
      <c r="J366" s="112"/>
      <c r="K366" s="7"/>
      <c r="L366" s="25">
        <v>46260</v>
      </c>
      <c r="M366" s="7"/>
      <c r="N366" s="46" t="s">
        <v>302</v>
      </c>
      <c r="Z366" s="3" t="s">
        <v>464</v>
      </c>
      <c r="AA366" s="34"/>
      <c r="AB366" s="34"/>
      <c r="AC366" s="35"/>
      <c r="AD366" s="35"/>
      <c r="AE366" s="35"/>
      <c r="AF366" s="24"/>
      <c r="AG366" s="21"/>
      <c r="AH366" s="42"/>
      <c r="AI366" s="42"/>
      <c r="AJ366" s="35"/>
      <c r="AK366" s="17"/>
      <c r="AL366" s="42"/>
      <c r="AM366" s="42"/>
      <c r="AN366" s="35"/>
      <c r="AO366" s="24"/>
      <c r="AP366" s="42"/>
      <c r="AQ366" s="42"/>
      <c r="AR366" s="68"/>
      <c r="AS366" s="71"/>
      <c r="AT366" s="60"/>
      <c r="AU366" s="60"/>
      <c r="AV366" s="94"/>
      <c r="AW366" s="71"/>
      <c r="AX366" s="60"/>
      <c r="AY366" s="113"/>
      <c r="AZ366" s="72"/>
      <c r="BA366" s="72"/>
      <c r="BB366" s="135"/>
      <c r="BC366" s="135"/>
      <c r="BD366" s="135">
        <v>0</v>
      </c>
      <c r="BE366" s="135">
        <f t="shared" si="587"/>
        <v>0</v>
      </c>
      <c r="BF366" s="200"/>
      <c r="BG366" s="200"/>
      <c r="BH366" s="200"/>
      <c r="BI366" s="200"/>
      <c r="BJ366" s="200"/>
      <c r="BK366" s="200"/>
      <c r="BL366" s="200"/>
      <c r="BM366" s="200"/>
      <c r="BN366" s="200"/>
      <c r="BO366" s="200"/>
      <c r="BP366" s="200"/>
      <c r="BQ366" s="200"/>
      <c r="BR366" s="200"/>
      <c r="BS366" s="200"/>
      <c r="BT366" s="200"/>
      <c r="BU366" s="138">
        <f t="shared" si="588"/>
        <v>0</v>
      </c>
    </row>
    <row r="367" spans="2:73" ht="25.8" thickBot="1" x14ac:dyDescent="0.65">
      <c r="B367" s="3" t="s">
        <v>459</v>
      </c>
      <c r="C367" s="4" t="s">
        <v>165</v>
      </c>
      <c r="D367" s="11">
        <v>45502</v>
      </c>
      <c r="E367" s="5">
        <v>0</v>
      </c>
      <c r="F367" s="5">
        <f t="shared" si="589"/>
        <v>0</v>
      </c>
      <c r="G367" s="5">
        <f t="shared" ref="G367" si="592">+BU367</f>
        <v>0</v>
      </c>
      <c r="H367" s="41">
        <f t="shared" ref="H367" si="593">+F367+G367</f>
        <v>0</v>
      </c>
      <c r="I367" s="73">
        <v>15</v>
      </c>
      <c r="J367" s="112">
        <v>15</v>
      </c>
      <c r="K367" s="7"/>
      <c r="L367" s="25">
        <v>46232</v>
      </c>
      <c r="M367" s="7"/>
      <c r="N367" s="46" t="s">
        <v>302</v>
      </c>
      <c r="Z367" s="3" t="s">
        <v>459</v>
      </c>
      <c r="AA367" s="36"/>
      <c r="AB367" s="34"/>
      <c r="AC367" s="35"/>
      <c r="AD367" s="35"/>
      <c r="AE367" s="35"/>
      <c r="AF367" s="24"/>
      <c r="AG367" s="21"/>
      <c r="AH367" s="42"/>
      <c r="AI367" s="42"/>
      <c r="AJ367" s="35"/>
      <c r="AK367" s="17"/>
      <c r="AL367" s="42"/>
      <c r="AM367" s="42"/>
      <c r="AN367" s="35"/>
      <c r="AO367" s="24"/>
      <c r="AP367" s="42"/>
      <c r="AQ367" s="42"/>
      <c r="AR367" s="68"/>
      <c r="AS367" s="71"/>
      <c r="AT367" s="60"/>
      <c r="AU367" s="60"/>
      <c r="AV367" s="94"/>
      <c r="AW367" s="71"/>
      <c r="AX367" s="60">
        <f t="shared" si="63"/>
        <v>0</v>
      </c>
      <c r="AY367" s="113">
        <f t="shared" si="16"/>
        <v>0</v>
      </c>
      <c r="AZ367" s="72">
        <v>0</v>
      </c>
      <c r="BA367" s="72">
        <f t="shared" ref="BA367" si="594">(+AW367+AX367+AY367)-AZ367</f>
        <v>0</v>
      </c>
      <c r="BB367" s="135">
        <f t="shared" si="17"/>
        <v>0</v>
      </c>
      <c r="BC367" s="135">
        <f t="shared" si="18"/>
        <v>0</v>
      </c>
      <c r="BD367" s="135">
        <v>0</v>
      </c>
      <c r="BE367" s="135">
        <f t="shared" si="587"/>
        <v>0</v>
      </c>
      <c r="BF367" s="200"/>
      <c r="BG367" s="200"/>
      <c r="BH367" s="200"/>
      <c r="BI367" s="200"/>
      <c r="BJ367" s="200"/>
      <c r="BK367" s="200"/>
      <c r="BL367" s="200"/>
      <c r="BM367" s="200"/>
      <c r="BN367" s="200"/>
      <c r="BO367" s="200"/>
      <c r="BP367" s="200"/>
      <c r="BQ367" s="200"/>
      <c r="BR367" s="200"/>
      <c r="BS367" s="200"/>
      <c r="BT367" s="200"/>
      <c r="BU367" s="138">
        <f t="shared" si="588"/>
        <v>0</v>
      </c>
    </row>
    <row r="368" spans="2:73" ht="25.8" thickBot="1" x14ac:dyDescent="0.65">
      <c r="B368" s="3" t="s">
        <v>335</v>
      </c>
      <c r="C368" s="4" t="s">
        <v>168</v>
      </c>
      <c r="D368" s="10">
        <v>44256</v>
      </c>
      <c r="E368" s="5">
        <v>1</v>
      </c>
      <c r="F368" s="5">
        <f t="shared" si="589"/>
        <v>533.33000000000004</v>
      </c>
      <c r="G368" s="5">
        <f t="shared" ref="G368" si="595">+BU368</f>
        <v>555</v>
      </c>
      <c r="H368" s="41">
        <f t="shared" ref="H368" si="596">+F368+G368</f>
        <v>1088.33</v>
      </c>
      <c r="I368" s="73">
        <v>14</v>
      </c>
      <c r="J368" s="112">
        <v>14</v>
      </c>
      <c r="K368" s="7"/>
      <c r="L368" s="25">
        <v>45717</v>
      </c>
      <c r="M368" s="7"/>
      <c r="N368" s="46" t="s">
        <v>302</v>
      </c>
      <c r="Z368" s="3" t="s">
        <v>335</v>
      </c>
      <c r="AA368" s="34">
        <v>0</v>
      </c>
      <c r="AB368" s="34">
        <v>0</v>
      </c>
      <c r="AC368" s="35">
        <v>0</v>
      </c>
      <c r="AD368" s="35">
        <v>0</v>
      </c>
      <c r="AE368" s="35">
        <v>0</v>
      </c>
      <c r="AF368" s="24">
        <v>0</v>
      </c>
      <c r="AG368" s="21">
        <f>+AF368-AE368</f>
        <v>0</v>
      </c>
      <c r="AH368" s="42">
        <v>0</v>
      </c>
      <c r="AI368" s="42">
        <v>0</v>
      </c>
      <c r="AJ368" s="35">
        <v>0</v>
      </c>
      <c r="AK368" s="17">
        <f>+AG368+(AH368+AI368)-AJ368</f>
        <v>0</v>
      </c>
      <c r="AL368" s="42">
        <f t="shared" si="201"/>
        <v>0</v>
      </c>
      <c r="AM368" s="42">
        <f>+(78)+(0)+(0)+(0)+(0)+(21)</f>
        <v>99</v>
      </c>
      <c r="AN368" s="35">
        <v>99</v>
      </c>
      <c r="AO368" s="24">
        <f>+AK368+AL368+AM368-AN368</f>
        <v>0</v>
      </c>
      <c r="AP368" s="42">
        <f t="shared" si="184"/>
        <v>0</v>
      </c>
      <c r="AQ368" s="42">
        <f>+(0)+(0)+(0)+(0)+(0)+(96)</f>
        <v>96</v>
      </c>
      <c r="AR368" s="68">
        <v>96</v>
      </c>
      <c r="AS368" s="71">
        <f>+AO368+AP368+AQ368-AR368</f>
        <v>0</v>
      </c>
      <c r="AT368" s="60">
        <f>+(0)+(0)+(0)+(78)+(108)+(228)</f>
        <v>414</v>
      </c>
      <c r="AU368" s="60">
        <f>+(51)+(0)+(0)+(0)+(0)+(0)</f>
        <v>51</v>
      </c>
      <c r="AV368" s="94">
        <v>120</v>
      </c>
      <c r="AW368" s="71">
        <f>+AS368+AT368+AU368-AV368</f>
        <v>345</v>
      </c>
      <c r="AX368" s="60">
        <f t="shared" si="207"/>
        <v>0</v>
      </c>
      <c r="AY368" s="113">
        <f>+(0)+(0)+(78)+(0)+(0)+(0)+(0)+(0)</f>
        <v>78</v>
      </c>
      <c r="AZ368" s="72">
        <v>120</v>
      </c>
      <c r="BA368" s="72">
        <f>(+AW368+AX368+AY368)-AZ368</f>
        <v>303</v>
      </c>
      <c r="BB368" s="135">
        <f t="shared" si="220"/>
        <v>0</v>
      </c>
      <c r="BC368" s="135">
        <f t="shared" si="217"/>
        <v>0</v>
      </c>
      <c r="BD368" s="135">
        <v>120</v>
      </c>
      <c r="BE368" s="135">
        <f t="shared" si="587"/>
        <v>183</v>
      </c>
      <c r="BF368" s="200"/>
      <c r="BG368" s="200"/>
      <c r="BH368" s="200"/>
      <c r="BI368" s="200"/>
      <c r="BJ368" s="200"/>
      <c r="BK368" s="200"/>
      <c r="BL368" s="200"/>
      <c r="BM368" s="200"/>
      <c r="BN368" s="200"/>
      <c r="BO368" s="200"/>
      <c r="BP368" s="200"/>
      <c r="BQ368" s="200"/>
      <c r="BR368" s="200"/>
      <c r="BS368" s="200"/>
      <c r="BT368" s="200"/>
      <c r="BU368" s="138">
        <f t="shared" si="588"/>
        <v>555</v>
      </c>
    </row>
    <row r="369" spans="2:73" ht="25.8" thickBot="1" x14ac:dyDescent="0.65">
      <c r="B369" s="3" t="s">
        <v>77</v>
      </c>
      <c r="C369" s="4" t="s">
        <v>169</v>
      </c>
      <c r="D369" s="3" t="s">
        <v>150</v>
      </c>
      <c r="E369" s="5">
        <v>15</v>
      </c>
      <c r="F369" s="5">
        <f t="shared" si="589"/>
        <v>7999.9500000000007</v>
      </c>
      <c r="G369" s="5">
        <f>+BU369</f>
        <v>2830</v>
      </c>
      <c r="H369" s="41">
        <f>+F369+G369</f>
        <v>10829.95</v>
      </c>
      <c r="I369" s="73">
        <v>1</v>
      </c>
      <c r="J369" s="112">
        <v>1</v>
      </c>
      <c r="K369" s="7"/>
      <c r="L369" s="25"/>
      <c r="M369" s="7"/>
      <c r="N369" s="39" t="s">
        <v>171</v>
      </c>
      <c r="Z369" s="3" t="s">
        <v>77</v>
      </c>
      <c r="AA369" s="36">
        <v>2170</v>
      </c>
      <c r="AB369" s="34">
        <v>96</v>
      </c>
      <c r="AC369" s="35">
        <v>96</v>
      </c>
      <c r="AD369" s="35">
        <v>96</v>
      </c>
      <c r="AE369" s="35">
        <v>0</v>
      </c>
      <c r="AF369" s="24">
        <v>0</v>
      </c>
      <c r="AG369" s="21">
        <f>+AF369-AE369</f>
        <v>0</v>
      </c>
      <c r="AH369" s="42">
        <v>0</v>
      </c>
      <c r="AI369" s="42">
        <f>+(0)+(0)+(156)+(0)+(54)+(162)</f>
        <v>372</v>
      </c>
      <c r="AJ369" s="35">
        <v>120</v>
      </c>
      <c r="AK369" s="17">
        <f>+AG369+(AH369+AI369)-AJ369</f>
        <v>252</v>
      </c>
      <c r="AL369" s="42">
        <f t="shared" si="201"/>
        <v>0</v>
      </c>
      <c r="AM369" s="42">
        <f t="shared" si="201"/>
        <v>0</v>
      </c>
      <c r="AN369" s="35">
        <v>120</v>
      </c>
      <c r="AO369" s="24">
        <f>+AK369+AL369+AM369-AN369</f>
        <v>132</v>
      </c>
      <c r="AP369" s="42">
        <f t="shared" si="310"/>
        <v>0</v>
      </c>
      <c r="AQ369" s="42">
        <f t="shared" si="310"/>
        <v>0</v>
      </c>
      <c r="AR369" s="68">
        <v>120</v>
      </c>
      <c r="AS369" s="71">
        <f>+AO369+AP369+AQ369-AR369</f>
        <v>12</v>
      </c>
      <c r="AT369" s="60">
        <f t="shared" si="311"/>
        <v>0</v>
      </c>
      <c r="AU369" s="60">
        <f t="shared" si="311"/>
        <v>0</v>
      </c>
      <c r="AV369" s="94">
        <v>12</v>
      </c>
      <c r="AW369" s="71">
        <f>+AS369+AT369+AU369-AV369</f>
        <v>0</v>
      </c>
      <c r="AX369" s="60">
        <f t="shared" si="302"/>
        <v>0</v>
      </c>
      <c r="AY369" s="113">
        <f t="shared" si="252"/>
        <v>0</v>
      </c>
      <c r="AZ369" s="72">
        <v>0</v>
      </c>
      <c r="BA369" s="72">
        <f>(+AW369+AX369+AY369)-AZ369</f>
        <v>0</v>
      </c>
      <c r="BB369" s="135">
        <f t="shared" si="220"/>
        <v>0</v>
      </c>
      <c r="BC369" s="135">
        <f t="shared" si="217"/>
        <v>0</v>
      </c>
      <c r="BD369" s="135">
        <v>0</v>
      </c>
      <c r="BE369" s="135">
        <f t="shared" si="587"/>
        <v>0</v>
      </c>
      <c r="BF369" s="200"/>
      <c r="BG369" s="200"/>
      <c r="BH369" s="200"/>
      <c r="BI369" s="200"/>
      <c r="BJ369" s="200"/>
      <c r="BK369" s="200"/>
      <c r="BL369" s="200"/>
      <c r="BM369" s="200"/>
      <c r="BN369" s="200"/>
      <c r="BO369" s="200"/>
      <c r="BP369" s="200"/>
      <c r="BQ369" s="200"/>
      <c r="BR369" s="200"/>
      <c r="BS369" s="200"/>
      <c r="BT369" s="200"/>
      <c r="BU369" s="138">
        <f t="shared" si="588"/>
        <v>2830</v>
      </c>
    </row>
    <row r="370" spans="2:73" ht="25.8" thickBot="1" x14ac:dyDescent="0.65">
      <c r="B370" s="3" t="s">
        <v>427</v>
      </c>
      <c r="C370" s="4" t="s">
        <v>166</v>
      </c>
      <c r="D370" s="11">
        <v>45326</v>
      </c>
      <c r="E370" s="5">
        <v>0</v>
      </c>
      <c r="F370" s="5">
        <f t="shared" si="589"/>
        <v>0</v>
      </c>
      <c r="G370" s="5">
        <f t="shared" ref="G370" si="597">+BU370</f>
        <v>400.8</v>
      </c>
      <c r="H370" s="41">
        <f t="shared" ref="H370" si="598">+F370+G370</f>
        <v>400.8</v>
      </c>
      <c r="I370" s="73">
        <v>15</v>
      </c>
      <c r="J370" s="112">
        <v>15</v>
      </c>
      <c r="K370" s="7"/>
      <c r="L370" s="25">
        <v>46057</v>
      </c>
      <c r="M370" s="7"/>
      <c r="N370" s="46" t="s">
        <v>302</v>
      </c>
      <c r="Z370" s="3" t="s">
        <v>427</v>
      </c>
      <c r="AA370" s="70">
        <v>363</v>
      </c>
      <c r="AB370" s="34">
        <v>0</v>
      </c>
      <c r="AC370" s="35">
        <v>0</v>
      </c>
      <c r="AD370" s="35">
        <v>0</v>
      </c>
      <c r="AE370" s="35">
        <v>0</v>
      </c>
      <c r="AF370" s="24">
        <v>0</v>
      </c>
      <c r="AG370" s="21">
        <f>+AF370-AE370</f>
        <v>0</v>
      </c>
      <c r="AH370" s="42">
        <v>0</v>
      </c>
      <c r="AI370" s="42">
        <v>0</v>
      </c>
      <c r="AJ370" s="35">
        <v>0</v>
      </c>
      <c r="AK370" s="17">
        <f>+AG370+(AH370+AI370)-AJ370</f>
        <v>0</v>
      </c>
      <c r="AL370" s="42">
        <v>0</v>
      </c>
      <c r="AM370" s="42">
        <v>0</v>
      </c>
      <c r="AN370" s="35">
        <v>0</v>
      </c>
      <c r="AO370" s="24">
        <f>+AK370+AL370+AM370-AN370</f>
        <v>0</v>
      </c>
      <c r="AP370" s="42">
        <v>0</v>
      </c>
      <c r="AQ370" s="42">
        <v>0</v>
      </c>
      <c r="AR370" s="68">
        <v>0</v>
      </c>
      <c r="AS370" s="71">
        <f>+AO370+AP370+AQ370-AR370</f>
        <v>0</v>
      </c>
      <c r="AT370" s="60">
        <v>0</v>
      </c>
      <c r="AU370" s="60">
        <v>0</v>
      </c>
      <c r="AV370" s="94">
        <v>0</v>
      </c>
      <c r="AW370" s="71">
        <f>+AS370+AT370+AU370-AV370</f>
        <v>0</v>
      </c>
      <c r="AX370" s="60">
        <f t="shared" si="26"/>
        <v>0</v>
      </c>
      <c r="AY370" s="113">
        <f>+(0)+(0)+(0)+(0)+(0)+(0)+(37.8)+(0)</f>
        <v>37.799999999999997</v>
      </c>
      <c r="AZ370" s="72">
        <v>37.799999999999997</v>
      </c>
      <c r="BA370" s="72">
        <f>(+AW370+AX370+AY370)-AZ370</f>
        <v>0</v>
      </c>
      <c r="BB370" s="135">
        <f t="shared" si="17"/>
        <v>0</v>
      </c>
      <c r="BC370" s="135">
        <f t="shared" si="18"/>
        <v>0</v>
      </c>
      <c r="BD370" s="141">
        <v>0</v>
      </c>
      <c r="BE370" s="141">
        <f>(BA370+BB370+BC370)-BD370</f>
        <v>0</v>
      </c>
      <c r="BF370" s="201"/>
      <c r="BG370" s="201"/>
      <c r="BH370" s="201"/>
      <c r="BI370" s="201"/>
      <c r="BJ370" s="201"/>
      <c r="BK370" s="201"/>
      <c r="BL370" s="201"/>
      <c r="BM370" s="201"/>
      <c r="BN370" s="201"/>
      <c r="BO370" s="201"/>
      <c r="BP370" s="201"/>
      <c r="BQ370" s="201"/>
      <c r="BR370" s="201"/>
      <c r="BS370" s="201"/>
      <c r="BT370" s="201"/>
      <c r="BU370" s="142">
        <f t="shared" si="588"/>
        <v>400.8</v>
      </c>
    </row>
    <row r="371" spans="2:73" ht="25.8" thickBot="1" x14ac:dyDescent="0.65">
      <c r="B371" s="3" t="s">
        <v>445</v>
      </c>
      <c r="C371" s="4" t="s">
        <v>165</v>
      </c>
      <c r="D371" s="11">
        <v>45397</v>
      </c>
      <c r="E371" s="5">
        <v>0</v>
      </c>
      <c r="F371" s="5">
        <f t="shared" ref="F371:F376" si="599">+E371*$C$1</f>
        <v>0</v>
      </c>
      <c r="G371" s="5">
        <f t="shared" ref="G371" si="600">+BU371</f>
        <v>0</v>
      </c>
      <c r="H371" s="41">
        <f t="shared" ref="H371" si="601">+F371+G371</f>
        <v>0</v>
      </c>
      <c r="I371" s="73">
        <v>15</v>
      </c>
      <c r="J371" s="112">
        <v>15</v>
      </c>
      <c r="K371" s="7"/>
      <c r="L371" s="117" t="s">
        <v>441</v>
      </c>
      <c r="M371" s="7"/>
      <c r="N371" s="46" t="s">
        <v>302</v>
      </c>
      <c r="O371" s="1"/>
      <c r="P371" s="1"/>
      <c r="Q371" s="1"/>
      <c r="R371" s="1"/>
      <c r="S371" s="1"/>
      <c r="T371" s="1"/>
      <c r="U371" s="1"/>
      <c r="V371" s="1"/>
      <c r="W371" s="1"/>
      <c r="Z371" s="3" t="s">
        <v>445</v>
      </c>
      <c r="AA371" s="36"/>
      <c r="AB371" s="34"/>
      <c r="AC371" s="35"/>
      <c r="AD371" s="35"/>
      <c r="AE371" s="35"/>
      <c r="AF371" s="24"/>
      <c r="AG371" s="21"/>
      <c r="AH371" s="42"/>
      <c r="AI371" s="42"/>
      <c r="AJ371" s="35"/>
      <c r="AK371" s="17"/>
      <c r="AL371" s="42"/>
      <c r="AM371" s="42"/>
      <c r="AN371" s="35"/>
      <c r="AO371" s="24"/>
      <c r="AP371" s="42"/>
      <c r="AQ371" s="42"/>
      <c r="AR371" s="68"/>
      <c r="AS371" s="71"/>
      <c r="AT371" s="60"/>
      <c r="AU371" s="60"/>
      <c r="AV371" s="94"/>
      <c r="AW371" s="71"/>
      <c r="AX371" s="60"/>
      <c r="AY371" s="113"/>
      <c r="AZ371" s="72"/>
      <c r="BA371" s="72"/>
      <c r="BB371" s="135">
        <f t="shared" si="17"/>
        <v>0</v>
      </c>
      <c r="BC371" s="135">
        <f t="shared" si="18"/>
        <v>0</v>
      </c>
      <c r="BD371" s="141">
        <v>0</v>
      </c>
      <c r="BE371" s="141">
        <f>(BA371+BB371+BC371)-BD371</f>
        <v>0</v>
      </c>
      <c r="BF371" s="201"/>
      <c r="BG371" s="201"/>
      <c r="BH371" s="201"/>
      <c r="BI371" s="201"/>
      <c r="BJ371" s="201"/>
      <c r="BK371" s="201"/>
      <c r="BL371" s="201"/>
      <c r="BM371" s="201"/>
      <c r="BN371" s="201"/>
      <c r="BO371" s="201"/>
      <c r="BP371" s="201"/>
      <c r="BQ371" s="201"/>
      <c r="BR371" s="201"/>
      <c r="BS371" s="201"/>
      <c r="BT371" s="201"/>
      <c r="BU371" s="142">
        <f t="shared" si="588"/>
        <v>0</v>
      </c>
    </row>
    <row r="372" spans="2:73" ht="25.8" thickBot="1" x14ac:dyDescent="0.65">
      <c r="B372" s="3" t="s">
        <v>469</v>
      </c>
      <c r="C372" s="4" t="s">
        <v>165</v>
      </c>
      <c r="D372" s="11">
        <v>45559</v>
      </c>
      <c r="E372" s="5">
        <v>0</v>
      </c>
      <c r="F372" s="5">
        <f t="shared" si="599"/>
        <v>0</v>
      </c>
      <c r="G372" s="5">
        <f t="shared" ref="G372" si="602">+BU372</f>
        <v>0</v>
      </c>
      <c r="H372" s="41">
        <f>+F372+G372</f>
        <v>0</v>
      </c>
      <c r="I372" s="73">
        <v>15</v>
      </c>
      <c r="J372" s="112">
        <v>15</v>
      </c>
      <c r="K372" s="7"/>
      <c r="L372" s="118">
        <v>46289</v>
      </c>
      <c r="M372" s="7"/>
      <c r="N372" s="46" t="s">
        <v>302</v>
      </c>
      <c r="Z372" s="3" t="s">
        <v>469</v>
      </c>
      <c r="AA372" s="34"/>
      <c r="AB372" s="34"/>
      <c r="AC372" s="35"/>
      <c r="AD372" s="35"/>
      <c r="AE372" s="35"/>
      <c r="AF372" s="24"/>
      <c r="AG372" s="21"/>
      <c r="AH372" s="42"/>
      <c r="AI372" s="42"/>
      <c r="AJ372" s="35"/>
      <c r="AK372" s="17"/>
      <c r="AL372" s="42"/>
      <c r="AM372" s="42"/>
      <c r="AN372" s="35"/>
      <c r="AO372" s="24"/>
      <c r="AP372" s="42"/>
      <c r="AQ372" s="42"/>
      <c r="AR372" s="68"/>
      <c r="AS372" s="71"/>
      <c r="AT372" s="60"/>
      <c r="AU372" s="60"/>
      <c r="AV372" s="94"/>
      <c r="AW372" s="71"/>
      <c r="AX372" s="60"/>
      <c r="AY372" s="113"/>
      <c r="AZ372" s="72"/>
      <c r="BA372" s="72"/>
      <c r="BB372" s="135">
        <f t="shared" si="220"/>
        <v>0</v>
      </c>
      <c r="BC372" s="135">
        <f t="shared" si="217"/>
        <v>0</v>
      </c>
      <c r="BD372" s="141">
        <v>0</v>
      </c>
      <c r="BE372" s="141">
        <f t="shared" ref="BE372" si="603">(BA372+BB372+BC372)-BD372</f>
        <v>0</v>
      </c>
      <c r="BF372" s="201"/>
      <c r="BG372" s="201"/>
      <c r="BH372" s="201"/>
      <c r="BI372" s="201"/>
      <c r="BJ372" s="201"/>
      <c r="BK372" s="201"/>
      <c r="BL372" s="201"/>
      <c r="BM372" s="201"/>
      <c r="BN372" s="201"/>
      <c r="BO372" s="201"/>
      <c r="BP372" s="201"/>
      <c r="BQ372" s="201"/>
      <c r="BR372" s="201"/>
      <c r="BS372" s="201"/>
      <c r="BT372" s="201"/>
      <c r="BU372" s="142">
        <f t="shared" si="588"/>
        <v>0</v>
      </c>
    </row>
    <row r="373" spans="2:73" ht="25.8" thickBot="1" x14ac:dyDescent="0.65">
      <c r="B373" s="3" t="s">
        <v>406</v>
      </c>
      <c r="C373" s="4" t="s">
        <v>164</v>
      </c>
      <c r="D373" s="11">
        <v>45169</v>
      </c>
      <c r="E373" s="5">
        <v>0</v>
      </c>
      <c r="F373" s="5">
        <f t="shared" si="599"/>
        <v>0</v>
      </c>
      <c r="G373" s="5">
        <f t="shared" ref="G373" si="604">+BU373</f>
        <v>30</v>
      </c>
      <c r="H373" s="41">
        <f t="shared" ref="H373" si="605">+F373+G373</f>
        <v>30</v>
      </c>
      <c r="I373" s="73">
        <v>15</v>
      </c>
      <c r="J373" s="112">
        <v>15</v>
      </c>
      <c r="K373" s="7"/>
      <c r="L373" s="25">
        <v>45900</v>
      </c>
      <c r="M373" s="7"/>
      <c r="N373" s="46" t="s">
        <v>302</v>
      </c>
      <c r="O373" s="1"/>
      <c r="P373" s="1"/>
      <c r="Q373" s="1"/>
      <c r="R373" s="1"/>
      <c r="S373" s="1"/>
      <c r="T373" s="1"/>
      <c r="U373" s="1"/>
      <c r="V373" s="1"/>
      <c r="W373" s="1"/>
      <c r="Z373" s="3" t="s">
        <v>406</v>
      </c>
      <c r="AA373" s="36">
        <v>0</v>
      </c>
      <c r="AB373" s="34">
        <v>0</v>
      </c>
      <c r="AC373" s="35">
        <v>0</v>
      </c>
      <c r="AD373" s="35">
        <v>0</v>
      </c>
      <c r="AE373" s="35">
        <v>0</v>
      </c>
      <c r="AF373" s="24">
        <v>0</v>
      </c>
      <c r="AG373" s="21">
        <f>+AF373-AE373</f>
        <v>0</v>
      </c>
      <c r="AH373" s="42">
        <v>0</v>
      </c>
      <c r="AI373" s="42">
        <v>0</v>
      </c>
      <c r="AJ373" s="35">
        <v>0</v>
      </c>
      <c r="AK373" s="17">
        <f>+AG373+(AH373+AI373)-AJ373</f>
        <v>0</v>
      </c>
      <c r="AL373" s="42">
        <v>0</v>
      </c>
      <c r="AM373" s="42">
        <v>0</v>
      </c>
      <c r="AN373" s="35">
        <v>0</v>
      </c>
      <c r="AO373" s="24">
        <f>+AK373+AL373+AM373-AN373</f>
        <v>0</v>
      </c>
      <c r="AP373" s="42">
        <v>0</v>
      </c>
      <c r="AQ373" s="42">
        <v>0</v>
      </c>
      <c r="AR373" s="68">
        <v>0</v>
      </c>
      <c r="AS373" s="71">
        <f>+AO373+AP373+AQ373-AR373</f>
        <v>0</v>
      </c>
      <c r="AT373" s="60">
        <v>0</v>
      </c>
      <c r="AU373" s="60">
        <v>0</v>
      </c>
      <c r="AV373" s="94">
        <v>0</v>
      </c>
      <c r="AW373" s="71">
        <f>+AS373+AT373+AU373-AV373</f>
        <v>0</v>
      </c>
      <c r="AX373" s="60">
        <f t="shared" si="289"/>
        <v>0</v>
      </c>
      <c r="AY373" s="113">
        <f t="shared" si="252"/>
        <v>0</v>
      </c>
      <c r="AZ373" s="72">
        <v>0</v>
      </c>
      <c r="BA373" s="72">
        <f t="shared" ref="BA373" si="606">(+AW373+AX373+AY373)-AZ373</f>
        <v>0</v>
      </c>
      <c r="BB373" s="135">
        <f>+(0)+(30)+(0)+(0)</f>
        <v>30</v>
      </c>
      <c r="BC373" s="135">
        <f t="shared" si="217"/>
        <v>0</v>
      </c>
      <c r="BD373" s="141">
        <v>30</v>
      </c>
      <c r="BE373" s="141">
        <f t="shared" ref="BE373:BE380" si="607">(BA373+BB373+BC373)-BD373</f>
        <v>0</v>
      </c>
      <c r="BF373" s="201"/>
      <c r="BG373" s="201"/>
      <c r="BH373" s="201"/>
      <c r="BI373" s="201"/>
      <c r="BJ373" s="201"/>
      <c r="BK373" s="201"/>
      <c r="BL373" s="201"/>
      <c r="BM373" s="201"/>
      <c r="BN373" s="201"/>
      <c r="BO373" s="201"/>
      <c r="BP373" s="201"/>
      <c r="BQ373" s="201"/>
      <c r="BR373" s="201"/>
      <c r="BS373" s="201"/>
      <c r="BT373" s="201"/>
      <c r="BU373" s="142">
        <f t="shared" si="588"/>
        <v>30</v>
      </c>
    </row>
    <row r="374" spans="2:73" ht="25.8" thickBot="1" x14ac:dyDescent="0.65">
      <c r="B374" s="3" t="s">
        <v>455</v>
      </c>
      <c r="C374" s="4" t="s">
        <v>165</v>
      </c>
      <c r="D374" s="10">
        <v>45453</v>
      </c>
      <c r="E374" s="5">
        <v>0</v>
      </c>
      <c r="F374" s="5">
        <f t="shared" si="599"/>
        <v>0</v>
      </c>
      <c r="G374" s="5">
        <f t="shared" ref="G374" si="608">+BU374</f>
        <v>0</v>
      </c>
      <c r="H374" s="41">
        <f t="shared" ref="H374" si="609">+F374+G374</f>
        <v>0</v>
      </c>
      <c r="I374" s="73">
        <v>15</v>
      </c>
      <c r="J374" s="112">
        <v>15</v>
      </c>
      <c r="K374" s="7"/>
      <c r="L374" s="116">
        <v>46183</v>
      </c>
      <c r="M374" s="7"/>
      <c r="N374" s="46" t="s">
        <v>302</v>
      </c>
      <c r="Z374" s="3" t="s">
        <v>455</v>
      </c>
      <c r="AA374" s="34"/>
      <c r="AB374" s="34"/>
      <c r="AC374" s="35"/>
      <c r="AD374" s="35"/>
      <c r="AE374" s="35"/>
      <c r="AF374" s="24"/>
      <c r="AG374" s="21"/>
      <c r="AH374" s="42"/>
      <c r="AI374" s="42"/>
      <c r="AJ374" s="35"/>
      <c r="AK374" s="17"/>
      <c r="AL374" s="42"/>
      <c r="AM374" s="42"/>
      <c r="AN374" s="35"/>
      <c r="AO374" s="24"/>
      <c r="AP374" s="42"/>
      <c r="AQ374" s="42"/>
      <c r="AR374" s="68"/>
      <c r="AS374" s="71"/>
      <c r="AT374" s="60"/>
      <c r="AU374" s="60"/>
      <c r="AV374" s="94"/>
      <c r="AW374" s="71"/>
      <c r="AX374" s="60"/>
      <c r="AY374" s="113"/>
      <c r="AZ374" s="72"/>
      <c r="BA374" s="72"/>
      <c r="BB374" s="135">
        <f t="shared" si="348"/>
        <v>0</v>
      </c>
      <c r="BC374" s="135">
        <f t="shared" si="344"/>
        <v>0</v>
      </c>
      <c r="BD374" s="141">
        <v>0</v>
      </c>
      <c r="BE374" s="141">
        <f t="shared" si="607"/>
        <v>0</v>
      </c>
      <c r="BF374" s="201"/>
      <c r="BG374" s="201"/>
      <c r="BH374" s="201"/>
      <c r="BI374" s="201"/>
      <c r="BJ374" s="201"/>
      <c r="BK374" s="201"/>
      <c r="BL374" s="201"/>
      <c r="BM374" s="201"/>
      <c r="BN374" s="201"/>
      <c r="BO374" s="201"/>
      <c r="BP374" s="201"/>
      <c r="BQ374" s="201"/>
      <c r="BR374" s="201"/>
      <c r="BS374" s="201"/>
      <c r="BT374" s="201"/>
      <c r="BU374" s="142">
        <f t="shared" si="588"/>
        <v>0</v>
      </c>
    </row>
    <row r="375" spans="2:73" ht="25.8" thickBot="1" x14ac:dyDescent="0.65">
      <c r="B375" s="3" t="s">
        <v>393</v>
      </c>
      <c r="C375" s="4" t="s">
        <v>165</v>
      </c>
      <c r="D375" s="11">
        <v>44958</v>
      </c>
      <c r="E375" s="5">
        <v>0</v>
      </c>
      <c r="F375" s="5">
        <f t="shared" si="599"/>
        <v>0</v>
      </c>
      <c r="G375" s="5">
        <f t="shared" ref="G375" si="610">+BU375</f>
        <v>54</v>
      </c>
      <c r="H375" s="41">
        <f t="shared" ref="H375" si="611">+F375+G375</f>
        <v>54</v>
      </c>
      <c r="I375" s="73">
        <v>15</v>
      </c>
      <c r="J375" s="112">
        <v>15</v>
      </c>
      <c r="K375" s="7"/>
      <c r="L375" s="25">
        <v>45689</v>
      </c>
      <c r="M375" s="7"/>
      <c r="N375" s="46" t="s">
        <v>302</v>
      </c>
      <c r="Z375" s="3" t="s">
        <v>393</v>
      </c>
      <c r="AA375" s="34">
        <v>0</v>
      </c>
      <c r="AB375" s="34">
        <v>0</v>
      </c>
      <c r="AC375" s="35">
        <v>0</v>
      </c>
      <c r="AD375" s="35">
        <v>0</v>
      </c>
      <c r="AE375" s="35">
        <v>0</v>
      </c>
      <c r="AF375" s="24">
        <v>0</v>
      </c>
      <c r="AG375" s="21">
        <f>+AF375-AE375</f>
        <v>0</v>
      </c>
      <c r="AH375" s="42">
        <v>0</v>
      </c>
      <c r="AI375" s="42">
        <v>0</v>
      </c>
      <c r="AJ375" s="35">
        <v>0</v>
      </c>
      <c r="AK375" s="17">
        <f>+AG375+(AH375+AI375)-AJ375</f>
        <v>0</v>
      </c>
      <c r="AL375" s="42">
        <v>0</v>
      </c>
      <c r="AM375" s="42">
        <v>0</v>
      </c>
      <c r="AN375" s="35">
        <v>0</v>
      </c>
      <c r="AO375" s="24">
        <f>+AK375+AL375+AM375-AN375</f>
        <v>0</v>
      </c>
      <c r="AP375" s="42">
        <v>0</v>
      </c>
      <c r="AQ375" s="42">
        <v>0</v>
      </c>
      <c r="AR375" s="68">
        <v>0</v>
      </c>
      <c r="AS375" s="71">
        <f>+AO375+AP375+AQ375-AR375</f>
        <v>0</v>
      </c>
      <c r="AT375" s="60">
        <f>+(0)+(0)+(0)+(0)+(54)+(0)</f>
        <v>54</v>
      </c>
      <c r="AU375" s="60">
        <f t="shared" si="185"/>
        <v>0</v>
      </c>
      <c r="AV375" s="94">
        <v>54</v>
      </c>
      <c r="AW375" s="71">
        <f>+AS375+AT375+AU375-AV375</f>
        <v>0</v>
      </c>
      <c r="AX375" s="60">
        <f t="shared" si="289"/>
        <v>0</v>
      </c>
      <c r="AY375" s="113">
        <f t="shared" si="252"/>
        <v>0</v>
      </c>
      <c r="AZ375" s="72">
        <v>0</v>
      </c>
      <c r="BA375" s="72">
        <f>(+AW375+AX375+AY375)-AZ375</f>
        <v>0</v>
      </c>
      <c r="BB375" s="135">
        <f t="shared" si="220"/>
        <v>0</v>
      </c>
      <c r="BC375" s="135">
        <f t="shared" si="217"/>
        <v>0</v>
      </c>
      <c r="BD375" s="141">
        <v>0</v>
      </c>
      <c r="BE375" s="141">
        <f t="shared" si="607"/>
        <v>0</v>
      </c>
      <c r="BF375" s="201"/>
      <c r="BG375" s="201"/>
      <c r="BH375" s="201"/>
      <c r="BI375" s="201"/>
      <c r="BJ375" s="201"/>
      <c r="BK375" s="201"/>
      <c r="BL375" s="201"/>
      <c r="BM375" s="201"/>
      <c r="BN375" s="201"/>
      <c r="BO375" s="201"/>
      <c r="BP375" s="201"/>
      <c r="BQ375" s="201"/>
      <c r="BR375" s="201"/>
      <c r="BS375" s="201"/>
      <c r="BT375" s="201"/>
      <c r="BU375" s="142">
        <f t="shared" si="588"/>
        <v>54</v>
      </c>
    </row>
    <row r="376" spans="2:73" ht="25.8" thickBot="1" x14ac:dyDescent="0.65">
      <c r="B376" s="3" t="s">
        <v>386</v>
      </c>
      <c r="C376" s="4" t="s">
        <v>164</v>
      </c>
      <c r="D376" s="11">
        <v>44931</v>
      </c>
      <c r="E376" s="5">
        <v>1</v>
      </c>
      <c r="F376" s="5">
        <f t="shared" si="599"/>
        <v>533.33000000000004</v>
      </c>
      <c r="G376" s="5">
        <f>+BU376</f>
        <v>360</v>
      </c>
      <c r="H376" s="41">
        <f>+F376+G376</f>
        <v>893.33</v>
      </c>
      <c r="I376" s="73">
        <v>14</v>
      </c>
      <c r="J376" s="112">
        <v>14</v>
      </c>
      <c r="K376" s="164" t="s">
        <v>300</v>
      </c>
      <c r="L376" s="25">
        <v>46392</v>
      </c>
      <c r="M376" s="7"/>
      <c r="N376" s="46" t="s">
        <v>302</v>
      </c>
      <c r="Z376" s="3" t="s">
        <v>386</v>
      </c>
      <c r="AA376" s="34">
        <v>0</v>
      </c>
      <c r="AB376" s="34">
        <v>0</v>
      </c>
      <c r="AC376" s="35">
        <v>0</v>
      </c>
      <c r="AD376" s="35">
        <v>0</v>
      </c>
      <c r="AE376" s="35">
        <v>0</v>
      </c>
      <c r="AF376" s="24">
        <v>0</v>
      </c>
      <c r="AG376" s="21">
        <f>+AF376-AE376</f>
        <v>0</v>
      </c>
      <c r="AH376" s="42">
        <v>0</v>
      </c>
      <c r="AI376" s="42">
        <v>0</v>
      </c>
      <c r="AJ376" s="35">
        <v>0</v>
      </c>
      <c r="AK376" s="17">
        <f>+AG376+(AH376+AI376)-AJ376</f>
        <v>0</v>
      </c>
      <c r="AL376" s="42">
        <v>0</v>
      </c>
      <c r="AM376" s="42">
        <v>0</v>
      </c>
      <c r="AN376" s="35">
        <v>0</v>
      </c>
      <c r="AO376" s="24">
        <f>+AK376+AL376+AM376-AN376</f>
        <v>0</v>
      </c>
      <c r="AP376" s="42">
        <v>0</v>
      </c>
      <c r="AQ376" s="42">
        <v>0</v>
      </c>
      <c r="AR376" s="68">
        <v>0</v>
      </c>
      <c r="AS376" s="71">
        <f>+AO376+AP376+AQ376-AR376</f>
        <v>0</v>
      </c>
      <c r="AT376" s="60">
        <f t="shared" si="15"/>
        <v>0</v>
      </c>
      <c r="AU376" s="60">
        <f>+(0)+(120)+(0)+(0)+(0)+(0)</f>
        <v>120</v>
      </c>
      <c r="AV376" s="94">
        <v>120</v>
      </c>
      <c r="AW376" s="71">
        <f>+AS376+AT376+AU376-AV376</f>
        <v>0</v>
      </c>
      <c r="AX376" s="60">
        <f>+(0)+(0)+(0)+(78)</f>
        <v>78</v>
      </c>
      <c r="AY376" s="113">
        <f>+(0)+(0)+(96)+(0)+(0)+(0)+(0)+(21)</f>
        <v>117</v>
      </c>
      <c r="AZ376" s="72">
        <v>120</v>
      </c>
      <c r="BA376" s="72">
        <f>(+AW376+AX376+AY376)-AZ376</f>
        <v>75</v>
      </c>
      <c r="BB376" s="135">
        <f>+(0)+(0)+(0)+(54)</f>
        <v>54</v>
      </c>
      <c r="BC376" s="135">
        <f t="shared" si="18"/>
        <v>0</v>
      </c>
      <c r="BD376" s="50">
        <v>120</v>
      </c>
      <c r="BE376" s="50">
        <f t="shared" si="607"/>
        <v>9</v>
      </c>
      <c r="BF376" s="139"/>
      <c r="BG376" s="139"/>
      <c r="BH376" s="139"/>
      <c r="BI376" s="139"/>
      <c r="BJ376" s="139"/>
      <c r="BK376" s="139"/>
      <c r="BL376" s="139"/>
      <c r="BM376" s="139"/>
      <c r="BN376" s="139"/>
      <c r="BO376" s="139"/>
      <c r="BP376" s="139"/>
      <c r="BQ376" s="139"/>
      <c r="BR376" s="139"/>
      <c r="BS376" s="139"/>
      <c r="BT376" s="139"/>
      <c r="BU376" s="153">
        <f t="shared" si="588"/>
        <v>360</v>
      </c>
    </row>
    <row r="377" spans="2:73" ht="25.8" thickBot="1" x14ac:dyDescent="0.65">
      <c r="B377" s="3" t="s">
        <v>446</v>
      </c>
      <c r="C377" s="4" t="s">
        <v>164</v>
      </c>
      <c r="D377" s="11">
        <v>45397</v>
      </c>
      <c r="E377" s="5">
        <v>0</v>
      </c>
      <c r="F377" s="5">
        <f t="shared" ref="F377" si="612">+E377*$C$1</f>
        <v>0</v>
      </c>
      <c r="G377" s="5">
        <f t="shared" ref="G377" si="613">+BU377</f>
        <v>0</v>
      </c>
      <c r="H377" s="41">
        <f t="shared" ref="H377" si="614">+F377+G377</f>
        <v>0</v>
      </c>
      <c r="I377" s="73">
        <v>15</v>
      </c>
      <c r="J377" s="112">
        <v>15</v>
      </c>
      <c r="K377" s="7"/>
      <c r="L377" s="25">
        <v>46127</v>
      </c>
      <c r="M377" s="7"/>
      <c r="N377" s="46" t="s">
        <v>302</v>
      </c>
      <c r="Z377" s="3" t="s">
        <v>446</v>
      </c>
      <c r="AA377" s="34">
        <v>0</v>
      </c>
      <c r="AB377" s="34">
        <v>0</v>
      </c>
      <c r="AC377" s="35">
        <v>0</v>
      </c>
      <c r="AD377" s="35">
        <v>0</v>
      </c>
      <c r="AE377" s="35">
        <v>0</v>
      </c>
      <c r="AF377" s="24">
        <v>0</v>
      </c>
      <c r="AG377" s="21">
        <f>+AF377-AE377</f>
        <v>0</v>
      </c>
      <c r="AH377" s="42">
        <v>0</v>
      </c>
      <c r="AI377" s="42">
        <v>0</v>
      </c>
      <c r="AJ377" s="35">
        <v>0</v>
      </c>
      <c r="AK377" s="17">
        <f>+AG377+(AH377+AI377)-AJ377</f>
        <v>0</v>
      </c>
      <c r="AL377" s="42">
        <v>0</v>
      </c>
      <c r="AM377" s="42">
        <v>0</v>
      </c>
      <c r="AN377" s="35">
        <v>0</v>
      </c>
      <c r="AO377" s="24">
        <f>+AK377+AL377+AM377-AN377</f>
        <v>0</v>
      </c>
      <c r="AP377" s="42">
        <v>0</v>
      </c>
      <c r="AQ377" s="42">
        <v>0</v>
      </c>
      <c r="AR377" s="68">
        <v>0</v>
      </c>
      <c r="AS377" s="71">
        <f>+AO377+AP377+AQ377-AR377</f>
        <v>0</v>
      </c>
      <c r="AT377" s="60">
        <v>0</v>
      </c>
      <c r="AU377" s="60">
        <v>0</v>
      </c>
      <c r="AV377" s="94">
        <v>0</v>
      </c>
      <c r="AW377" s="71">
        <f>+AS377+AT377+AU377-AV377</f>
        <v>0</v>
      </c>
      <c r="AX377" s="60">
        <f t="shared" si="26"/>
        <v>0</v>
      </c>
      <c r="AY377" s="113">
        <f t="shared" si="16"/>
        <v>0</v>
      </c>
      <c r="AZ377" s="72">
        <v>0</v>
      </c>
      <c r="BA377" s="72">
        <f t="shared" ref="BA377" si="615">(+AW377+AX377+AY377)-AZ377</f>
        <v>0</v>
      </c>
      <c r="BB377" s="135">
        <f t="shared" si="17"/>
        <v>0</v>
      </c>
      <c r="BC377" s="135">
        <f t="shared" si="18"/>
        <v>0</v>
      </c>
      <c r="BD377" s="50">
        <v>0</v>
      </c>
      <c r="BE377" s="50">
        <f t="shared" si="607"/>
        <v>0</v>
      </c>
      <c r="BF377" s="139"/>
      <c r="BG377" s="139"/>
      <c r="BH377" s="139"/>
      <c r="BI377" s="139"/>
      <c r="BJ377" s="139"/>
      <c r="BK377" s="139"/>
      <c r="BL377" s="139"/>
      <c r="BM377" s="139"/>
      <c r="BN377" s="139"/>
      <c r="BO377" s="139"/>
      <c r="BP377" s="139"/>
      <c r="BQ377" s="139"/>
      <c r="BR377" s="139"/>
      <c r="BS377" s="139"/>
      <c r="BT377" s="139"/>
      <c r="BU377" s="153">
        <f t="shared" si="588"/>
        <v>0</v>
      </c>
    </row>
    <row r="378" spans="2:73" ht="25.8" thickBot="1" x14ac:dyDescent="0.65">
      <c r="B378" s="3" t="s">
        <v>456</v>
      </c>
      <c r="C378" s="4" t="s">
        <v>354</v>
      </c>
      <c r="D378" s="11">
        <v>45484</v>
      </c>
      <c r="E378" s="5">
        <v>0</v>
      </c>
      <c r="F378" s="5">
        <f t="shared" ref="F378" si="616">+E378*$C$1</f>
        <v>0</v>
      </c>
      <c r="G378" s="5">
        <f t="shared" ref="G378" si="617">+BU378</f>
        <v>120</v>
      </c>
      <c r="H378" s="41">
        <f t="shared" ref="H378" si="618">+F378+G378</f>
        <v>120</v>
      </c>
      <c r="I378" s="73">
        <v>15</v>
      </c>
      <c r="J378" s="112">
        <v>15</v>
      </c>
      <c r="K378" s="7"/>
      <c r="L378" s="25">
        <v>46214</v>
      </c>
      <c r="M378" s="7"/>
      <c r="N378" s="46" t="s">
        <v>302</v>
      </c>
      <c r="Z378" s="3" t="s">
        <v>456</v>
      </c>
      <c r="AA378" s="36"/>
      <c r="AB378" s="34"/>
      <c r="AC378" s="35"/>
      <c r="AD378" s="35"/>
      <c r="AE378" s="35"/>
      <c r="AF378" s="24"/>
      <c r="AG378" s="21"/>
      <c r="AH378" s="42"/>
      <c r="AI378" s="42"/>
      <c r="AJ378" s="35"/>
      <c r="AK378" s="17"/>
      <c r="AL378" s="42"/>
      <c r="AM378" s="42"/>
      <c r="AN378" s="35"/>
      <c r="AO378" s="24"/>
      <c r="AP378" s="42"/>
      <c r="AQ378" s="42"/>
      <c r="AR378" s="68"/>
      <c r="AS378" s="71"/>
      <c r="AT378" s="60"/>
      <c r="AU378" s="60"/>
      <c r="AV378" s="94"/>
      <c r="AW378" s="71"/>
      <c r="AX378" s="60"/>
      <c r="AY378" s="113"/>
      <c r="AZ378" s="72"/>
      <c r="BA378" s="72"/>
      <c r="BB378" s="135">
        <f>+(0)+(183.6)+(0)+(288)</f>
        <v>471.6</v>
      </c>
      <c r="BC378" s="135">
        <f>+(0)+(78)+(0)+(0)+(0)+(0)+(0)+(0)</f>
        <v>78</v>
      </c>
      <c r="BD378" s="50">
        <v>120</v>
      </c>
      <c r="BE378" s="50">
        <f t="shared" si="607"/>
        <v>429.6</v>
      </c>
      <c r="BF378" s="139"/>
      <c r="BG378" s="139"/>
      <c r="BH378" s="139"/>
      <c r="BI378" s="139"/>
      <c r="BJ378" s="139"/>
      <c r="BK378" s="139"/>
      <c r="BL378" s="139"/>
      <c r="BM378" s="139"/>
      <c r="BN378" s="139"/>
      <c r="BO378" s="139"/>
      <c r="BP378" s="139"/>
      <c r="BQ378" s="139"/>
      <c r="BR378" s="139"/>
      <c r="BS378" s="139"/>
      <c r="BT378" s="139"/>
      <c r="BU378" s="153">
        <f t="shared" si="588"/>
        <v>120</v>
      </c>
    </row>
    <row r="379" spans="2:73" ht="25.8" thickBot="1" x14ac:dyDescent="0.65">
      <c r="B379" s="3" t="s">
        <v>460</v>
      </c>
      <c r="C379" s="4" t="s">
        <v>166</v>
      </c>
      <c r="D379" s="11">
        <v>45505</v>
      </c>
      <c r="E379" s="5">
        <v>0</v>
      </c>
      <c r="F379" s="5">
        <f t="shared" ref="F379" si="619">+E379*$C$1</f>
        <v>0</v>
      </c>
      <c r="G379" s="5">
        <f>+BU379</f>
        <v>587.4</v>
      </c>
      <c r="H379" s="41">
        <f t="shared" ref="H379" si="620">+F379+G379</f>
        <v>587.4</v>
      </c>
      <c r="I379" s="73">
        <v>15</v>
      </c>
      <c r="J379" s="112">
        <v>15</v>
      </c>
      <c r="K379" s="7"/>
      <c r="L379" s="25">
        <v>46235</v>
      </c>
      <c r="M379" s="7"/>
      <c r="N379" s="46" t="s">
        <v>302</v>
      </c>
      <c r="Z379" s="3" t="s">
        <v>460</v>
      </c>
      <c r="AA379" s="70">
        <v>287.39999999999998</v>
      </c>
      <c r="AB379" s="34"/>
      <c r="AC379" s="35"/>
      <c r="AD379" s="35"/>
      <c r="AE379" s="35"/>
      <c r="AF379" s="24"/>
      <c r="AG379" s="21"/>
      <c r="AH379" s="42"/>
      <c r="AI379" s="42"/>
      <c r="AJ379" s="35"/>
      <c r="AK379" s="17"/>
      <c r="AL379" s="42"/>
      <c r="AM379" s="42"/>
      <c r="AN379" s="35"/>
      <c r="AO379" s="24"/>
      <c r="AP379" s="42"/>
      <c r="AQ379" s="42"/>
      <c r="AR379" s="68"/>
      <c r="AS379" s="71"/>
      <c r="AT379" s="60"/>
      <c r="AU379" s="60"/>
      <c r="AV379" s="94"/>
      <c r="AW379" s="71"/>
      <c r="AX379" s="60">
        <f t="shared" si="63"/>
        <v>0</v>
      </c>
      <c r="AY379" s="113">
        <f>+(0)+(0)+(0)+(0)+(0)+(0)+(0)+(171)</f>
        <v>171</v>
      </c>
      <c r="AZ379" s="71">
        <v>150</v>
      </c>
      <c r="BA379" s="71">
        <f>(+AW379+AX379+AY379)-AZ379</f>
        <v>21</v>
      </c>
      <c r="BB379" s="135">
        <f>+(0)+(0)+(54)+(132)</f>
        <v>186</v>
      </c>
      <c r="BC379" s="135">
        <f t="shared" si="18"/>
        <v>0</v>
      </c>
      <c r="BD379" s="50">
        <v>150</v>
      </c>
      <c r="BE379" s="50">
        <f t="shared" si="607"/>
        <v>57</v>
      </c>
      <c r="BF379" s="139"/>
      <c r="BG379" s="139"/>
      <c r="BH379" s="139"/>
      <c r="BI379" s="139"/>
      <c r="BJ379" s="139"/>
      <c r="BK379" s="139"/>
      <c r="BL379" s="139"/>
      <c r="BM379" s="139"/>
      <c r="BN379" s="139"/>
      <c r="BO379" s="139"/>
      <c r="BP379" s="139"/>
      <c r="BQ379" s="139"/>
      <c r="BR379" s="139"/>
      <c r="BS379" s="139"/>
      <c r="BT379" s="139"/>
      <c r="BU379" s="153">
        <f t="shared" si="588"/>
        <v>587.4</v>
      </c>
    </row>
    <row r="380" spans="2:73" ht="25.8" thickBot="1" x14ac:dyDescent="0.65">
      <c r="B380" s="3" t="s">
        <v>364</v>
      </c>
      <c r="C380" s="4" t="s">
        <v>165</v>
      </c>
      <c r="D380" s="11">
        <v>44636</v>
      </c>
      <c r="E380" s="5">
        <v>1</v>
      </c>
      <c r="F380" s="5">
        <f>+E380*$C$1</f>
        <v>533.33000000000004</v>
      </c>
      <c r="G380" s="5">
        <f>+BU380</f>
        <v>1521.6</v>
      </c>
      <c r="H380" s="41">
        <f>+F380+G380</f>
        <v>2054.9299999999998</v>
      </c>
      <c r="I380" s="73">
        <v>13</v>
      </c>
      <c r="J380" s="112">
        <v>13</v>
      </c>
      <c r="K380" s="7"/>
      <c r="L380" s="25">
        <v>46097</v>
      </c>
      <c r="M380" s="7"/>
      <c r="N380" s="46" t="s">
        <v>302</v>
      </c>
      <c r="Z380" s="3" t="s">
        <v>364</v>
      </c>
      <c r="AA380" s="70">
        <v>921.6</v>
      </c>
      <c r="AB380" s="34">
        <v>0</v>
      </c>
      <c r="AC380" s="35">
        <v>0</v>
      </c>
      <c r="AD380" s="35">
        <v>0</v>
      </c>
      <c r="AE380" s="35">
        <v>0</v>
      </c>
      <c r="AF380" s="24">
        <v>0</v>
      </c>
      <c r="AG380" s="21">
        <f>+AF380-AE380</f>
        <v>0</v>
      </c>
      <c r="AH380" s="42">
        <v>0</v>
      </c>
      <c r="AI380" s="42">
        <v>0</v>
      </c>
      <c r="AJ380" s="35">
        <v>0</v>
      </c>
      <c r="AK380" s="17">
        <f>+AG380+(AH380+AI380)-AJ380</f>
        <v>0</v>
      </c>
      <c r="AL380" s="42">
        <v>0</v>
      </c>
      <c r="AM380" s="42">
        <v>0</v>
      </c>
      <c r="AN380" s="35">
        <v>0</v>
      </c>
      <c r="AO380" s="24">
        <f>+AK380+AL380+AM380-AN380</f>
        <v>0</v>
      </c>
      <c r="AP380" s="42">
        <f>+(0)+(0)+(0)+(0)+(0)+(0)</f>
        <v>0</v>
      </c>
      <c r="AQ380" s="42">
        <f>+(228)+(30)+(108)+(0)+(142.8)+(96)</f>
        <v>604.79999999999995</v>
      </c>
      <c r="AR380" s="68">
        <v>150</v>
      </c>
      <c r="AS380" s="71">
        <f>+AO380+AP380+AQ380-AR380</f>
        <v>454.79999999999995</v>
      </c>
      <c r="AT380" s="60">
        <f>+(108)+(0)+(0)+(0)+(54)+(0)</f>
        <v>162</v>
      </c>
      <c r="AU380" s="60">
        <f>+(0)+(54)+(0)+(0)+(0)+(0)</f>
        <v>54</v>
      </c>
      <c r="AV380" s="94">
        <v>150</v>
      </c>
      <c r="AW380" s="71">
        <f>+AS380+AT380+AU380-AV380</f>
        <v>520.79999999999995</v>
      </c>
      <c r="AX380" s="60">
        <f>+(120)+(0)+(108)+(0)</f>
        <v>228</v>
      </c>
      <c r="AY380" s="113">
        <f>+(228)+(0)+(0)+(0)+(0)+(0)+(54)+(0)</f>
        <v>282</v>
      </c>
      <c r="AZ380" s="72">
        <v>150</v>
      </c>
      <c r="BA380" s="72">
        <f>(+AW380+AX380+AY380)-AZ380</f>
        <v>880.8</v>
      </c>
      <c r="BB380" s="135">
        <f t="shared" si="17"/>
        <v>0</v>
      </c>
      <c r="BC380" s="135">
        <f t="shared" si="18"/>
        <v>0</v>
      </c>
      <c r="BD380" s="50">
        <v>150</v>
      </c>
      <c r="BE380" s="50">
        <f t="shared" si="607"/>
        <v>730.8</v>
      </c>
      <c r="BF380" s="139"/>
      <c r="BG380" s="139"/>
      <c r="BH380" s="139"/>
      <c r="BI380" s="139"/>
      <c r="BJ380" s="139"/>
      <c r="BK380" s="139"/>
      <c r="BL380" s="139"/>
      <c r="BM380" s="139"/>
      <c r="BN380" s="139"/>
      <c r="BO380" s="139"/>
      <c r="BP380" s="139"/>
      <c r="BQ380" s="139"/>
      <c r="BR380" s="139"/>
      <c r="BS380" s="139"/>
      <c r="BT380" s="139"/>
      <c r="BU380" s="153">
        <f t="shared" si="588"/>
        <v>1521.6</v>
      </c>
    </row>
    <row r="381" spans="2:73" ht="25.8" thickBot="1" x14ac:dyDescent="0.65">
      <c r="B381" s="3" t="s">
        <v>473</v>
      </c>
      <c r="C381" s="4" t="s">
        <v>165</v>
      </c>
      <c r="D381" s="11">
        <v>45629</v>
      </c>
      <c r="E381" s="5">
        <v>0</v>
      </c>
      <c r="F381" s="5">
        <f t="shared" ref="F381" si="621">+E381*$C$1</f>
        <v>0</v>
      </c>
      <c r="G381" s="5">
        <f t="shared" ref="G381" si="622">+BU381</f>
        <v>0</v>
      </c>
      <c r="H381" s="41">
        <f t="shared" ref="H381" si="623">+F381+G381</f>
        <v>0</v>
      </c>
      <c r="I381" s="73">
        <v>15</v>
      </c>
      <c r="J381" s="112">
        <v>15</v>
      </c>
      <c r="K381" s="7"/>
      <c r="L381" s="25">
        <v>46359</v>
      </c>
      <c r="M381" s="7"/>
      <c r="N381" s="46" t="s">
        <v>302</v>
      </c>
      <c r="Z381" s="3" t="s">
        <v>473</v>
      </c>
      <c r="AA381" s="34"/>
      <c r="AB381" s="34"/>
      <c r="AC381" s="35"/>
      <c r="AD381" s="35"/>
      <c r="AE381" s="35"/>
      <c r="AF381" s="24"/>
      <c r="AG381" s="21"/>
      <c r="AH381" s="42"/>
      <c r="AI381" s="42"/>
      <c r="AJ381" s="35"/>
      <c r="AK381" s="17"/>
      <c r="AL381" s="42"/>
      <c r="AM381" s="42"/>
      <c r="AN381" s="35"/>
      <c r="AO381" s="24"/>
      <c r="AP381" s="42"/>
      <c r="AQ381" s="42"/>
      <c r="AR381" s="68"/>
      <c r="AS381" s="71"/>
      <c r="AT381" s="60"/>
      <c r="AU381" s="60"/>
      <c r="AV381" s="94"/>
      <c r="AW381" s="71"/>
      <c r="AX381" s="60"/>
      <c r="AY381" s="113"/>
      <c r="AZ381" s="72"/>
      <c r="BA381" s="72"/>
      <c r="BB381" s="135">
        <f t="shared" si="106"/>
        <v>0</v>
      </c>
      <c r="BC381" s="135">
        <f t="shared" si="116"/>
        <v>0</v>
      </c>
      <c r="BD381" s="50">
        <v>0</v>
      </c>
      <c r="BE381" s="50">
        <f t="shared" ref="BE381" si="624">(BA381+BB381+BC381)-BD381</f>
        <v>0</v>
      </c>
      <c r="BF381" s="139"/>
      <c r="BG381" s="139"/>
      <c r="BH381" s="139"/>
      <c r="BI381" s="139"/>
      <c r="BJ381" s="139"/>
      <c r="BK381" s="139"/>
      <c r="BL381" s="139"/>
      <c r="BM381" s="139"/>
      <c r="BN381" s="139"/>
      <c r="BO381" s="139"/>
      <c r="BP381" s="139"/>
      <c r="BQ381" s="139"/>
      <c r="BR381" s="139"/>
      <c r="BS381" s="139"/>
      <c r="BT381" s="139"/>
      <c r="BU381" s="153">
        <f t="shared" si="588"/>
        <v>0</v>
      </c>
    </row>
    <row r="382" spans="2:73" ht="25.8" thickBot="1" x14ac:dyDescent="0.65">
      <c r="B382" s="3" t="s">
        <v>429</v>
      </c>
      <c r="C382" s="4" t="s">
        <v>168</v>
      </c>
      <c r="D382" s="11">
        <v>45327</v>
      </c>
      <c r="E382" s="5">
        <v>0</v>
      </c>
      <c r="F382" s="5">
        <f t="shared" ref="F382" si="625">+E382*$C$1</f>
        <v>0</v>
      </c>
      <c r="G382" s="5">
        <f t="shared" ref="G382" si="626">+BU382</f>
        <v>0</v>
      </c>
      <c r="H382" s="41">
        <f t="shared" ref="H382" si="627">+F382+G382</f>
        <v>0</v>
      </c>
      <c r="I382" s="73">
        <v>15</v>
      </c>
      <c r="J382" s="112">
        <v>15</v>
      </c>
      <c r="K382" s="7"/>
      <c r="L382" s="25">
        <v>46058</v>
      </c>
      <c r="M382" s="7"/>
      <c r="N382" s="46" t="s">
        <v>302</v>
      </c>
      <c r="Z382" s="3" t="s">
        <v>429</v>
      </c>
      <c r="AA382" s="34">
        <v>0</v>
      </c>
      <c r="AB382" s="34">
        <v>0</v>
      </c>
      <c r="AC382" s="35">
        <v>0</v>
      </c>
      <c r="AD382" s="35">
        <v>0</v>
      </c>
      <c r="AE382" s="35">
        <v>0</v>
      </c>
      <c r="AF382" s="24">
        <v>0</v>
      </c>
      <c r="AG382" s="21">
        <f>+AF382-AE382</f>
        <v>0</v>
      </c>
      <c r="AH382" s="42">
        <v>0</v>
      </c>
      <c r="AI382" s="42">
        <v>0</v>
      </c>
      <c r="AJ382" s="35">
        <v>0</v>
      </c>
      <c r="AK382" s="17">
        <f>+AG382+(AH382+AI382)-AJ382</f>
        <v>0</v>
      </c>
      <c r="AL382" s="42">
        <v>0</v>
      </c>
      <c r="AM382" s="42">
        <v>0</v>
      </c>
      <c r="AN382" s="35">
        <v>0</v>
      </c>
      <c r="AO382" s="24">
        <f>+AK382+AL382+AM382-AN382</f>
        <v>0</v>
      </c>
      <c r="AP382" s="42">
        <v>0</v>
      </c>
      <c r="AQ382" s="42">
        <v>0</v>
      </c>
      <c r="AR382" s="68">
        <v>0</v>
      </c>
      <c r="AS382" s="71">
        <f>+AO382+AP382+AQ382-AR382</f>
        <v>0</v>
      </c>
      <c r="AT382" s="60">
        <v>0</v>
      </c>
      <c r="AU382" s="60">
        <v>0</v>
      </c>
      <c r="AV382" s="94">
        <v>0</v>
      </c>
      <c r="AW382" s="71">
        <f>+AS382+AT382+AU382-AV382</f>
        <v>0</v>
      </c>
      <c r="AX382" s="60">
        <f t="shared" si="115"/>
        <v>0</v>
      </c>
      <c r="AY382" s="113">
        <f t="shared" si="16"/>
        <v>0</v>
      </c>
      <c r="AZ382" s="72">
        <v>0</v>
      </c>
      <c r="BA382" s="72">
        <f>(+AW382+AX382+AY382)-AZ382</f>
        <v>0</v>
      </c>
      <c r="BB382" s="135">
        <f t="shared" si="106"/>
        <v>0</v>
      </c>
      <c r="BC382" s="135">
        <f t="shared" si="116"/>
        <v>0</v>
      </c>
      <c r="BD382" s="50">
        <v>0</v>
      </c>
      <c r="BE382" s="50">
        <f>(BA382+BB382+BC382)-BD382</f>
        <v>0</v>
      </c>
      <c r="BF382" s="139"/>
      <c r="BG382" s="139"/>
      <c r="BH382" s="139"/>
      <c r="BI382" s="139"/>
      <c r="BJ382" s="139"/>
      <c r="BK382" s="139"/>
      <c r="BL382" s="139"/>
      <c r="BM382" s="139"/>
      <c r="BN382" s="139"/>
      <c r="BO382" s="139"/>
      <c r="BP382" s="139"/>
      <c r="BQ382" s="139"/>
      <c r="BR382" s="139"/>
      <c r="BS382" s="139"/>
      <c r="BT382" s="139"/>
      <c r="BU382" s="153">
        <f t="shared" si="588"/>
        <v>0</v>
      </c>
    </row>
    <row r="383" spans="2:73" ht="25.8" thickBot="1" x14ac:dyDescent="0.65">
      <c r="B383" s="3" t="s">
        <v>418</v>
      </c>
      <c r="C383" s="4" t="s">
        <v>164</v>
      </c>
      <c r="D383" s="11">
        <v>45196</v>
      </c>
      <c r="E383" s="5">
        <v>0</v>
      </c>
      <c r="F383" s="5">
        <f t="shared" ref="F383" si="628">+E383*$C$1</f>
        <v>0</v>
      </c>
      <c r="G383" s="5">
        <f t="shared" ref="G383" si="629">+BU383</f>
        <v>240</v>
      </c>
      <c r="H383" s="41">
        <f t="shared" ref="H383" si="630">+F383+G383</f>
        <v>240</v>
      </c>
      <c r="I383" s="73">
        <v>15</v>
      </c>
      <c r="J383" s="112">
        <v>15</v>
      </c>
      <c r="K383" s="7"/>
      <c r="L383" s="25">
        <v>45927</v>
      </c>
      <c r="M383" s="7"/>
      <c r="N383" s="46" t="s">
        <v>302</v>
      </c>
      <c r="Z383" s="3" t="s">
        <v>418</v>
      </c>
      <c r="AA383" s="36">
        <v>0</v>
      </c>
      <c r="AB383" s="34">
        <v>0</v>
      </c>
      <c r="AC383" s="35">
        <v>0</v>
      </c>
      <c r="AD383" s="35">
        <v>0</v>
      </c>
      <c r="AE383" s="35">
        <v>0</v>
      </c>
      <c r="AF383" s="24">
        <v>0</v>
      </c>
      <c r="AG383" s="21">
        <f>+AF383-AE383</f>
        <v>0</v>
      </c>
      <c r="AH383" s="42">
        <v>0</v>
      </c>
      <c r="AI383" s="42">
        <v>0</v>
      </c>
      <c r="AJ383" s="35">
        <v>0</v>
      </c>
      <c r="AK383" s="17">
        <f>+AG383+(AH383+AI383)-AJ383</f>
        <v>0</v>
      </c>
      <c r="AL383" s="42">
        <v>0</v>
      </c>
      <c r="AM383" s="42">
        <v>0</v>
      </c>
      <c r="AN383" s="35">
        <v>0</v>
      </c>
      <c r="AO383" s="24">
        <f>+AK383+AL383+AM383-AN383</f>
        <v>0</v>
      </c>
      <c r="AP383" s="42">
        <v>0</v>
      </c>
      <c r="AQ383" s="42">
        <v>0</v>
      </c>
      <c r="AR383" s="68">
        <v>0</v>
      </c>
      <c r="AS383" s="71">
        <f>+AO383+AP383+AQ383-AR383</f>
        <v>0</v>
      </c>
      <c r="AT383" s="60">
        <v>0</v>
      </c>
      <c r="AU383" s="60">
        <v>0</v>
      </c>
      <c r="AV383" s="94">
        <v>0</v>
      </c>
      <c r="AW383" s="71">
        <f>+AS383+AT383+AU383-AV383</f>
        <v>0</v>
      </c>
      <c r="AX383" s="60">
        <f t="shared" si="115"/>
        <v>0</v>
      </c>
      <c r="AY383" s="113">
        <f>+(0)+(0)+(174)+(0)+(0)+(0)+(78)+(0)</f>
        <v>252</v>
      </c>
      <c r="AZ383" s="72">
        <v>120</v>
      </c>
      <c r="BA383" s="72">
        <f>(+AW383+AX383+AY383)-AZ383</f>
        <v>132</v>
      </c>
      <c r="BB383" s="135">
        <f t="shared" si="106"/>
        <v>0</v>
      </c>
      <c r="BC383" s="135">
        <f t="shared" si="116"/>
        <v>0</v>
      </c>
      <c r="BD383" s="50">
        <v>120</v>
      </c>
      <c r="BE383" s="50">
        <f>(BA383+BB383+BC383)-BD383</f>
        <v>12</v>
      </c>
      <c r="BF383" s="139"/>
      <c r="BG383" s="139"/>
      <c r="BH383" s="139"/>
      <c r="BI383" s="139"/>
      <c r="BJ383" s="139"/>
      <c r="BK383" s="139"/>
      <c r="BL383" s="139"/>
      <c r="BM383" s="139"/>
      <c r="BN383" s="139"/>
      <c r="BO383" s="139"/>
      <c r="BP383" s="139"/>
      <c r="BQ383" s="139"/>
      <c r="BR383" s="139"/>
      <c r="BS383" s="139"/>
      <c r="BT383" s="139"/>
      <c r="BU383" s="153">
        <f t="shared" si="588"/>
        <v>240</v>
      </c>
    </row>
    <row r="384" spans="2:73" ht="25.8" thickBot="1" x14ac:dyDescent="0.65">
      <c r="B384" s="3" t="s">
        <v>468</v>
      </c>
      <c r="C384" s="4" t="s">
        <v>168</v>
      </c>
      <c r="D384" s="11">
        <v>45551</v>
      </c>
      <c r="E384" s="5">
        <v>0</v>
      </c>
      <c r="F384" s="5">
        <f t="shared" ref="F384" si="631">+E384*$C$1</f>
        <v>0</v>
      </c>
      <c r="G384" s="5">
        <f t="shared" ref="G384" si="632">+BU384</f>
        <v>0</v>
      </c>
      <c r="H384" s="41">
        <f t="shared" ref="H384" si="633">+F384+G384</f>
        <v>0</v>
      </c>
      <c r="I384" s="73">
        <v>15</v>
      </c>
      <c r="J384" s="112">
        <v>15</v>
      </c>
      <c r="K384" s="7"/>
      <c r="L384" s="25">
        <v>46281</v>
      </c>
      <c r="M384" s="7"/>
      <c r="N384" s="46" t="s">
        <v>302</v>
      </c>
      <c r="Z384" s="3" t="s">
        <v>468</v>
      </c>
      <c r="AA384" s="34"/>
      <c r="AB384" s="34"/>
      <c r="AC384" s="35"/>
      <c r="AD384" s="35"/>
      <c r="AE384" s="35"/>
      <c r="AF384" s="24"/>
      <c r="AG384" s="21"/>
      <c r="AH384" s="42"/>
      <c r="AI384" s="42"/>
      <c r="AJ384" s="35"/>
      <c r="AK384" s="17"/>
      <c r="AL384" s="42"/>
      <c r="AM384" s="42"/>
      <c r="AN384" s="35"/>
      <c r="AO384" s="24"/>
      <c r="AP384" s="42"/>
      <c r="AQ384" s="42"/>
      <c r="AR384" s="68"/>
      <c r="AS384" s="71"/>
      <c r="AT384" s="60"/>
      <c r="AU384" s="60"/>
      <c r="AV384" s="94"/>
      <c r="AW384" s="71"/>
      <c r="AX384" s="60"/>
      <c r="AY384" s="113"/>
      <c r="AZ384" s="72"/>
      <c r="BA384" s="72"/>
      <c r="BB384" s="135">
        <f t="shared" si="220"/>
        <v>0</v>
      </c>
      <c r="BC384" s="135">
        <f t="shared" si="217"/>
        <v>0</v>
      </c>
      <c r="BD384" s="50">
        <v>0</v>
      </c>
      <c r="BE384" s="50">
        <f t="shared" ref="BE384" si="634">(BA384+BB384+BC384)-BD384</f>
        <v>0</v>
      </c>
      <c r="BF384" s="139"/>
      <c r="BG384" s="139"/>
      <c r="BH384" s="139"/>
      <c r="BI384" s="139"/>
      <c r="BJ384" s="139"/>
      <c r="BK384" s="139"/>
      <c r="BL384" s="139"/>
      <c r="BM384" s="139"/>
      <c r="BN384" s="139"/>
      <c r="BO384" s="139"/>
      <c r="BP384" s="139"/>
      <c r="BQ384" s="139"/>
      <c r="BR384" s="139"/>
      <c r="BS384" s="139"/>
      <c r="BT384" s="139"/>
      <c r="BU384" s="153">
        <f t="shared" si="588"/>
        <v>0</v>
      </c>
    </row>
    <row r="385" spans="2:73" ht="25.8" thickBot="1" x14ac:dyDescent="0.65">
      <c r="B385" s="3" t="s">
        <v>353</v>
      </c>
      <c r="C385" s="4" t="s">
        <v>165</v>
      </c>
      <c r="D385" s="11">
        <v>44523</v>
      </c>
      <c r="E385" s="5">
        <v>1</v>
      </c>
      <c r="F385" s="5">
        <f>+E385*$C$1</f>
        <v>533.33000000000004</v>
      </c>
      <c r="G385" s="5">
        <f>+BU385</f>
        <v>462</v>
      </c>
      <c r="H385" s="41">
        <f>+F385+G385</f>
        <v>995.33</v>
      </c>
      <c r="I385" s="73">
        <v>14</v>
      </c>
      <c r="J385" s="112">
        <v>14</v>
      </c>
      <c r="K385" s="7"/>
      <c r="L385" s="25">
        <v>45984</v>
      </c>
      <c r="M385" s="7"/>
      <c r="N385" s="46" t="s">
        <v>302</v>
      </c>
      <c r="Z385" s="3" t="s">
        <v>353</v>
      </c>
      <c r="AA385" s="34">
        <v>0</v>
      </c>
      <c r="AB385" s="34">
        <v>0</v>
      </c>
      <c r="AC385" s="35">
        <v>0</v>
      </c>
      <c r="AD385" s="35">
        <v>0</v>
      </c>
      <c r="AE385" s="35">
        <v>0</v>
      </c>
      <c r="AF385" s="24">
        <v>0</v>
      </c>
      <c r="AG385" s="21">
        <f>+AF385-AE385</f>
        <v>0</v>
      </c>
      <c r="AH385" s="42">
        <v>0</v>
      </c>
      <c r="AI385" s="42">
        <v>0</v>
      </c>
      <c r="AJ385" s="35">
        <v>0</v>
      </c>
      <c r="AK385" s="17">
        <f>+AG385+(AH385+AI385)-AJ385</f>
        <v>0</v>
      </c>
      <c r="AL385" s="42">
        <f t="shared" si="201"/>
        <v>0</v>
      </c>
      <c r="AM385" s="42">
        <f t="shared" si="201"/>
        <v>0</v>
      </c>
      <c r="AN385" s="35">
        <v>0</v>
      </c>
      <c r="AO385" s="24">
        <f>+AK385+AL385+AM385-AN385</f>
        <v>0</v>
      </c>
      <c r="AP385" s="42">
        <f>+(0)+(0)+(0)+(0)+(0)+(108)</f>
        <v>108</v>
      </c>
      <c r="AQ385" s="42">
        <f>+(96)+(0)+(0)+(0)+(0)+(96)</f>
        <v>192</v>
      </c>
      <c r="AR385" s="68">
        <v>150</v>
      </c>
      <c r="AS385" s="71">
        <f>+AO385+AP385+AQ385-AR385</f>
        <v>150</v>
      </c>
      <c r="AT385" s="60">
        <f>+(0)+(0)+(0)+(0)+(54)+(0)</f>
        <v>54</v>
      </c>
      <c r="AU385" s="60">
        <f t="shared" si="185"/>
        <v>0</v>
      </c>
      <c r="AV385" s="94">
        <v>150</v>
      </c>
      <c r="AW385" s="71">
        <f>+AS385+AT385+AU385-AV385</f>
        <v>54</v>
      </c>
      <c r="AX385" s="60">
        <f t="shared" si="255"/>
        <v>0</v>
      </c>
      <c r="AY385" s="113">
        <f>+(0)+(0)+(0)+(0)+(0)+(0)+(0)+(108)</f>
        <v>108</v>
      </c>
      <c r="AZ385" s="71">
        <v>150</v>
      </c>
      <c r="BA385" s="71">
        <f>(+AW385+AX385+AY385)-AZ385</f>
        <v>12</v>
      </c>
      <c r="BB385" s="135">
        <f t="shared" si="220"/>
        <v>0</v>
      </c>
      <c r="BC385" s="135">
        <f t="shared" si="217"/>
        <v>0</v>
      </c>
      <c r="BD385" s="50">
        <v>12</v>
      </c>
      <c r="BE385" s="50">
        <f>(BA385+BB385+BC385)-BD385</f>
        <v>0</v>
      </c>
      <c r="BF385" s="139"/>
      <c r="BG385" s="139"/>
      <c r="BH385" s="139"/>
      <c r="BI385" s="139"/>
      <c r="BJ385" s="139"/>
      <c r="BK385" s="139"/>
      <c r="BL385" s="139"/>
      <c r="BM385" s="139"/>
      <c r="BN385" s="139"/>
      <c r="BO385" s="139"/>
      <c r="BP385" s="139"/>
      <c r="BQ385" s="139"/>
      <c r="BR385" s="139"/>
      <c r="BS385" s="139"/>
      <c r="BT385" s="139"/>
      <c r="BU385" s="153">
        <f t="shared" si="588"/>
        <v>462</v>
      </c>
    </row>
    <row r="386" spans="2:73" ht="25.8" thickBot="1" x14ac:dyDescent="0.65">
      <c r="B386" s="3" t="s">
        <v>342</v>
      </c>
      <c r="C386" s="4" t="s">
        <v>165</v>
      </c>
      <c r="D386" s="11">
        <v>44298</v>
      </c>
      <c r="E386" s="5">
        <v>1</v>
      </c>
      <c r="F386" s="5">
        <f>+E386*$C$1</f>
        <v>533.33000000000004</v>
      </c>
      <c r="G386" s="5">
        <f t="shared" ref="G386" si="635">+BU386</f>
        <v>450</v>
      </c>
      <c r="H386" s="41">
        <f t="shared" ref="H386" si="636">+F386+G386</f>
        <v>983.33</v>
      </c>
      <c r="I386" s="73">
        <v>14</v>
      </c>
      <c r="J386" s="112">
        <v>14</v>
      </c>
      <c r="K386" s="7"/>
      <c r="L386" s="25">
        <v>45759</v>
      </c>
      <c r="M386" s="7"/>
      <c r="N386" s="46" t="s">
        <v>302</v>
      </c>
      <c r="Z386" s="3" t="s">
        <v>342</v>
      </c>
      <c r="AA386" s="36">
        <v>0</v>
      </c>
      <c r="AB386" s="34">
        <v>0</v>
      </c>
      <c r="AC386" s="35">
        <v>0</v>
      </c>
      <c r="AD386" s="35">
        <v>0</v>
      </c>
      <c r="AE386" s="35">
        <v>0</v>
      </c>
      <c r="AF386" s="24">
        <v>0</v>
      </c>
      <c r="AG386" s="21">
        <f>+AF386-AE386</f>
        <v>0</v>
      </c>
      <c r="AH386" s="42">
        <v>0</v>
      </c>
      <c r="AI386" s="42">
        <v>0</v>
      </c>
      <c r="AJ386" s="35">
        <v>0</v>
      </c>
      <c r="AK386" s="17">
        <f>+AG386+(AH386+AI386)-AJ386</f>
        <v>0</v>
      </c>
      <c r="AL386" s="42">
        <f t="shared" si="201"/>
        <v>0</v>
      </c>
      <c r="AM386" s="42">
        <f t="shared" si="201"/>
        <v>0</v>
      </c>
      <c r="AN386" s="35">
        <v>0</v>
      </c>
      <c r="AO386" s="24">
        <f>+AK386+AL386+AM386-AN386</f>
        <v>0</v>
      </c>
      <c r="AP386" s="42">
        <f t="shared" si="310"/>
        <v>0</v>
      </c>
      <c r="AQ386" s="42">
        <f t="shared" si="310"/>
        <v>0</v>
      </c>
      <c r="AR386" s="68">
        <v>0</v>
      </c>
      <c r="AS386" s="71">
        <f>+AO386+AP386+AQ386-AR386</f>
        <v>0</v>
      </c>
      <c r="AT386" s="60">
        <f>+(204)+(0)+(0)+(0)+(54)+(30)</f>
        <v>288</v>
      </c>
      <c r="AU386" s="60">
        <f>+(0)+(120)+(0)+(0)+(0)+(0)</f>
        <v>120</v>
      </c>
      <c r="AV386" s="94">
        <v>150</v>
      </c>
      <c r="AW386" s="71">
        <f>+AS386+AT386+AU386-AV386</f>
        <v>258</v>
      </c>
      <c r="AX386" s="60">
        <f>+(0)+(0)+(0)+(348)</f>
        <v>348</v>
      </c>
      <c r="AY386" s="113">
        <f>+(0)+(0)+(0)+(54.6)+(0)+(0)+(0)+(0)</f>
        <v>54.6</v>
      </c>
      <c r="AZ386" s="72">
        <v>150</v>
      </c>
      <c r="BA386" s="72">
        <f>(+AW386+AX386+AY386)-AZ386</f>
        <v>510.6</v>
      </c>
      <c r="BB386" s="135">
        <f>+(174)+(0)+(0)+(0)</f>
        <v>174</v>
      </c>
      <c r="BC386" s="135">
        <f t="shared" si="217"/>
        <v>0</v>
      </c>
      <c r="BD386" s="50">
        <v>150</v>
      </c>
      <c r="BE386" s="50">
        <f>(BA386+BB386+BC386)-BD386</f>
        <v>534.6</v>
      </c>
      <c r="BF386" s="139"/>
      <c r="BG386" s="139"/>
      <c r="BH386" s="139"/>
      <c r="BI386" s="139"/>
      <c r="BJ386" s="139"/>
      <c r="BK386" s="139"/>
      <c r="BL386" s="139"/>
      <c r="BM386" s="139"/>
      <c r="BN386" s="139"/>
      <c r="BO386" s="139"/>
      <c r="BP386" s="139"/>
      <c r="BQ386" s="139"/>
      <c r="BR386" s="139"/>
      <c r="BS386" s="139"/>
      <c r="BT386" s="139"/>
      <c r="BU386" s="153">
        <f t="shared" si="588"/>
        <v>450</v>
      </c>
    </row>
    <row r="387" spans="2:73" ht="25.8" thickBot="1" x14ac:dyDescent="0.65">
      <c r="B387" s="3" t="s">
        <v>434</v>
      </c>
      <c r="C387" s="4" t="s">
        <v>168</v>
      </c>
      <c r="D387" s="11">
        <v>45343</v>
      </c>
      <c r="E387" s="5">
        <v>0</v>
      </c>
      <c r="F387" s="5">
        <f>+E387*$C$1</f>
        <v>0</v>
      </c>
      <c r="G387" s="5">
        <f t="shared" ref="G387" si="637">+BU387</f>
        <v>0</v>
      </c>
      <c r="H387" s="41">
        <f t="shared" ref="H387" si="638">+F387+G387</f>
        <v>0</v>
      </c>
      <c r="I387" s="73">
        <v>15</v>
      </c>
      <c r="J387" s="112">
        <v>15</v>
      </c>
      <c r="K387" s="7"/>
      <c r="L387" s="179" t="s">
        <v>441</v>
      </c>
      <c r="M387" s="7"/>
      <c r="N387" s="46" t="s">
        <v>302</v>
      </c>
      <c r="Z387" s="3" t="s">
        <v>434</v>
      </c>
      <c r="AA387" s="34">
        <v>0</v>
      </c>
      <c r="AB387" s="34">
        <v>0</v>
      </c>
      <c r="AC387" s="35">
        <v>0</v>
      </c>
      <c r="AD387" s="35">
        <v>0</v>
      </c>
      <c r="AE387" s="35">
        <v>0</v>
      </c>
      <c r="AF387" s="24">
        <v>0</v>
      </c>
      <c r="AG387" s="21">
        <f>+AF387-AE387</f>
        <v>0</v>
      </c>
      <c r="AH387" s="42">
        <v>0</v>
      </c>
      <c r="AI387" s="42">
        <v>0</v>
      </c>
      <c r="AJ387" s="35">
        <v>0</v>
      </c>
      <c r="AK387" s="17">
        <f>+AG387+(AH387+AI387)-AJ387</f>
        <v>0</v>
      </c>
      <c r="AL387" s="42">
        <v>0</v>
      </c>
      <c r="AM387" s="42">
        <v>0</v>
      </c>
      <c r="AN387" s="35">
        <v>0</v>
      </c>
      <c r="AO387" s="24">
        <f>+AK387+AL387+AM387-AN387</f>
        <v>0</v>
      </c>
      <c r="AP387" s="42">
        <v>0</v>
      </c>
      <c r="AQ387" s="42">
        <v>0</v>
      </c>
      <c r="AR387" s="68">
        <v>0</v>
      </c>
      <c r="AS387" s="71">
        <f>+AO387+AP387+AQ387-AR387</f>
        <v>0</v>
      </c>
      <c r="AT387" s="60">
        <v>0</v>
      </c>
      <c r="AU387" s="60">
        <v>0</v>
      </c>
      <c r="AV387" s="94">
        <v>0</v>
      </c>
      <c r="AW387" s="71">
        <f>+AS387+AT387+AU387-AV387</f>
        <v>0</v>
      </c>
      <c r="AX387" s="60">
        <f t="shared" si="115"/>
        <v>0</v>
      </c>
      <c r="AY387" s="113">
        <f t="shared" si="16"/>
        <v>0</v>
      </c>
      <c r="AZ387" s="72">
        <v>0</v>
      </c>
      <c r="BA387" s="72">
        <f t="shared" ref="BA387" si="639">(+AW387+AX387+AY387)-AZ387</f>
        <v>0</v>
      </c>
      <c r="BB387" s="135">
        <f t="shared" si="106"/>
        <v>0</v>
      </c>
      <c r="BC387" s="135">
        <f t="shared" si="116"/>
        <v>0</v>
      </c>
      <c r="BD387" s="177">
        <v>0</v>
      </c>
      <c r="BE387" s="177">
        <f>(BA387+BB387+BC387)-BD387</f>
        <v>0</v>
      </c>
      <c r="BF387" s="202"/>
      <c r="BG387" s="202"/>
      <c r="BH387" s="202"/>
      <c r="BI387" s="202"/>
      <c r="BJ387" s="202"/>
      <c r="BK387" s="202"/>
      <c r="BL387" s="202"/>
      <c r="BM387" s="202"/>
      <c r="BN387" s="202"/>
      <c r="BO387" s="202"/>
      <c r="BP387" s="202"/>
      <c r="BQ387" s="202"/>
      <c r="BR387" s="202"/>
      <c r="BS387" s="202"/>
      <c r="BT387" s="202"/>
      <c r="BU387" s="178">
        <f t="shared" si="588"/>
        <v>0</v>
      </c>
    </row>
    <row r="388" spans="2:73" ht="25.8" thickBot="1" x14ac:dyDescent="0.65">
      <c r="B388" s="3" t="s">
        <v>483</v>
      </c>
      <c r="C388" s="4" t="s">
        <v>166</v>
      </c>
      <c r="D388" s="11">
        <v>45686</v>
      </c>
      <c r="E388" s="5">
        <v>0</v>
      </c>
      <c r="F388" s="5">
        <f t="shared" ref="F388" si="640">+E388*$C$1</f>
        <v>0</v>
      </c>
      <c r="G388" s="5">
        <f t="shared" ref="G388" si="641">+BU388</f>
        <v>0</v>
      </c>
      <c r="H388" s="41">
        <f t="shared" ref="H388" si="642">+F388+G388</f>
        <v>0</v>
      </c>
      <c r="I388" s="73">
        <v>15</v>
      </c>
      <c r="J388" s="112">
        <v>15</v>
      </c>
      <c r="K388" s="7"/>
      <c r="L388" s="25">
        <v>46416</v>
      </c>
      <c r="M388" s="7"/>
      <c r="N388" s="46" t="s">
        <v>302</v>
      </c>
      <c r="Z388" s="3" t="s">
        <v>483</v>
      </c>
      <c r="AA388" s="36">
        <v>0</v>
      </c>
      <c r="AB388" s="34"/>
      <c r="AC388" s="35"/>
      <c r="AD388" s="35"/>
      <c r="AE388" s="35"/>
      <c r="AF388" s="24"/>
      <c r="AG388" s="21"/>
      <c r="AH388" s="42"/>
      <c r="AI388" s="42"/>
      <c r="AJ388" s="35"/>
      <c r="AK388" s="17"/>
      <c r="AL388" s="42"/>
      <c r="AM388" s="42"/>
      <c r="AN388" s="35"/>
      <c r="AO388" s="24"/>
      <c r="AP388" s="42"/>
      <c r="AQ388" s="42"/>
      <c r="AR388" s="68"/>
      <c r="AS388" s="71"/>
      <c r="AT388" s="60"/>
      <c r="AU388" s="60"/>
      <c r="AV388" s="94"/>
      <c r="AW388" s="71"/>
      <c r="AX388" s="60"/>
      <c r="AY388" s="113"/>
      <c r="AZ388" s="72"/>
      <c r="BA388" s="72"/>
      <c r="BB388" s="135">
        <f t="shared" si="106"/>
        <v>0</v>
      </c>
      <c r="BC388" s="135">
        <f t="shared" si="116"/>
        <v>0</v>
      </c>
      <c r="BD388" s="177">
        <v>0</v>
      </c>
      <c r="BE388" s="177">
        <f t="shared" ref="BE388" si="643">(BA388+BB388+BC388)-BD388</f>
        <v>0</v>
      </c>
      <c r="BF388" s="202"/>
      <c r="BG388" s="202"/>
      <c r="BH388" s="202"/>
      <c r="BI388" s="202"/>
      <c r="BJ388" s="202"/>
      <c r="BK388" s="202"/>
      <c r="BL388" s="202"/>
      <c r="BM388" s="202"/>
      <c r="BN388" s="202"/>
      <c r="BO388" s="202"/>
      <c r="BP388" s="202"/>
      <c r="BQ388" s="202"/>
      <c r="BR388" s="202"/>
      <c r="BS388" s="202"/>
      <c r="BT388" s="202"/>
      <c r="BU388" s="178">
        <f t="shared" si="588"/>
        <v>0</v>
      </c>
    </row>
    <row r="389" spans="2:73" ht="25.8" thickBot="1" x14ac:dyDescent="0.65">
      <c r="B389" s="3" t="s">
        <v>484</v>
      </c>
      <c r="C389" s="4" t="s">
        <v>168</v>
      </c>
      <c r="D389" s="10">
        <v>45695</v>
      </c>
      <c r="E389" s="5">
        <v>0</v>
      </c>
      <c r="F389" s="5">
        <f>+E389*$C$1</f>
        <v>0</v>
      </c>
      <c r="G389" s="5">
        <f t="shared" ref="G389" si="644">+BU389</f>
        <v>0</v>
      </c>
      <c r="H389" s="41">
        <f t="shared" ref="H389" si="645">+F389+G389</f>
        <v>0</v>
      </c>
      <c r="I389" s="73">
        <v>15</v>
      </c>
      <c r="J389" s="112">
        <v>15</v>
      </c>
      <c r="K389" s="7"/>
      <c r="L389" s="25">
        <v>46425</v>
      </c>
      <c r="M389" s="7"/>
      <c r="N389" s="46" t="s">
        <v>302</v>
      </c>
      <c r="O389" s="1"/>
      <c r="P389" s="1"/>
      <c r="Q389" s="1"/>
      <c r="R389" s="1"/>
      <c r="S389" s="1"/>
      <c r="T389" s="1"/>
      <c r="U389" s="1"/>
      <c r="V389" s="1"/>
      <c r="W389" s="1"/>
      <c r="Z389" s="3" t="s">
        <v>484</v>
      </c>
      <c r="AA389" s="34"/>
      <c r="AB389" s="34"/>
      <c r="AC389" s="35"/>
      <c r="AD389" s="35"/>
      <c r="AE389" s="35"/>
      <c r="AF389" s="24"/>
      <c r="AG389" s="21"/>
      <c r="AH389" s="42"/>
      <c r="AI389" s="42"/>
      <c r="AJ389" s="35"/>
      <c r="AK389" s="17"/>
      <c r="AL389" s="42"/>
      <c r="AM389" s="42"/>
      <c r="AN389" s="35"/>
      <c r="AO389" s="24"/>
      <c r="AP389" s="42"/>
      <c r="AQ389" s="42"/>
      <c r="AR389" s="68"/>
      <c r="AS389" s="71"/>
      <c r="AT389" s="60"/>
      <c r="AU389" s="60"/>
      <c r="AV389" s="94"/>
      <c r="AW389" s="71"/>
      <c r="AX389" s="60"/>
      <c r="AY389" s="113"/>
      <c r="AZ389" s="71"/>
      <c r="BA389" s="71"/>
      <c r="BB389" s="135">
        <f t="shared" si="106"/>
        <v>0</v>
      </c>
      <c r="BC389" s="135">
        <f t="shared" si="116"/>
        <v>0</v>
      </c>
      <c r="BD389" s="177">
        <v>0</v>
      </c>
      <c r="BE389" s="177">
        <f t="shared" ref="BE389" si="646">(BA389+BB389+BC389)-BD389</f>
        <v>0</v>
      </c>
      <c r="BF389" s="202"/>
      <c r="BG389" s="202"/>
      <c r="BH389" s="202"/>
      <c r="BI389" s="202"/>
      <c r="BJ389" s="202"/>
      <c r="BK389" s="202"/>
      <c r="BL389" s="202"/>
      <c r="BM389" s="202"/>
      <c r="BN389" s="202"/>
      <c r="BO389" s="202"/>
      <c r="BP389" s="202"/>
      <c r="BQ389" s="202"/>
      <c r="BR389" s="202"/>
      <c r="BS389" s="202"/>
      <c r="BT389" s="202"/>
      <c r="BU389" s="178">
        <f t="shared" si="588"/>
        <v>0</v>
      </c>
    </row>
    <row r="390" spans="2:73" ht="25.8" thickBot="1" x14ac:dyDescent="0.65">
      <c r="B390" s="3" t="s">
        <v>486</v>
      </c>
      <c r="C390" s="4" t="s">
        <v>354</v>
      </c>
      <c r="D390" s="11">
        <v>45695</v>
      </c>
      <c r="E390" s="5">
        <v>0</v>
      </c>
      <c r="F390" s="5">
        <f>+E390*$C$1</f>
        <v>0</v>
      </c>
      <c r="G390" s="5">
        <f t="shared" ref="G390" si="647">+BU390</f>
        <v>0</v>
      </c>
      <c r="H390" s="41">
        <f t="shared" ref="H390" si="648">+F390+G390</f>
        <v>0</v>
      </c>
      <c r="I390" s="73">
        <v>15</v>
      </c>
      <c r="J390" s="112">
        <v>15</v>
      </c>
      <c r="K390" s="7"/>
      <c r="L390" s="180">
        <v>46425</v>
      </c>
      <c r="M390" s="56"/>
      <c r="N390" s="46" t="s">
        <v>302</v>
      </c>
      <c r="Z390" s="3" t="str">
        <f>+B390</f>
        <v>PARKES FLORES JAVIERA PAZ</v>
      </c>
      <c r="AA390" s="34">
        <v>0</v>
      </c>
      <c r="AB390" s="34"/>
      <c r="AC390" s="35"/>
      <c r="AD390" s="35"/>
      <c r="AE390" s="35"/>
      <c r="AF390" s="24"/>
      <c r="AG390" s="21"/>
      <c r="AH390" s="42"/>
      <c r="AI390" s="42"/>
      <c r="AJ390" s="35"/>
      <c r="AK390" s="17"/>
      <c r="AL390" s="42"/>
      <c r="AM390" s="42"/>
      <c r="AN390" s="35"/>
      <c r="AO390" s="65"/>
      <c r="AP390" s="42"/>
      <c r="AQ390" s="42"/>
      <c r="AR390" s="68"/>
      <c r="AS390" s="71"/>
      <c r="AT390" s="60"/>
      <c r="AU390" s="60"/>
      <c r="AV390" s="94"/>
      <c r="AW390" s="71"/>
      <c r="AX390" s="60"/>
      <c r="AY390" s="113"/>
      <c r="AZ390" s="72"/>
      <c r="BA390" s="72"/>
      <c r="BB390" s="135">
        <f t="shared" si="220"/>
        <v>0</v>
      </c>
      <c r="BC390" s="135">
        <f t="shared" si="217"/>
        <v>0</v>
      </c>
      <c r="BD390" s="177">
        <v>0</v>
      </c>
      <c r="BE390" s="177">
        <f t="shared" ref="BE390" si="649">(BA390+BB390+BC390)-BD390</f>
        <v>0</v>
      </c>
      <c r="BF390" s="202"/>
      <c r="BG390" s="202"/>
      <c r="BH390" s="202"/>
      <c r="BI390" s="202"/>
      <c r="BJ390" s="202"/>
      <c r="BK390" s="202"/>
      <c r="BL390" s="202"/>
      <c r="BM390" s="202"/>
      <c r="BN390" s="202"/>
      <c r="BO390" s="202"/>
      <c r="BP390" s="202"/>
      <c r="BQ390" s="202"/>
      <c r="BR390" s="202"/>
      <c r="BS390" s="202"/>
      <c r="BT390" s="202"/>
      <c r="BU390" s="178">
        <f t="shared" si="588"/>
        <v>0</v>
      </c>
    </row>
    <row r="391" spans="2:73" ht="25.8" thickBot="1" x14ac:dyDescent="0.65">
      <c r="B391" s="3" t="s">
        <v>299</v>
      </c>
      <c r="C391" s="4" t="s">
        <v>164</v>
      </c>
      <c r="D391" s="11">
        <v>43906</v>
      </c>
      <c r="E391" s="51">
        <v>5</v>
      </c>
      <c r="F391" s="5">
        <f>+E391*$C$1</f>
        <v>2666.65</v>
      </c>
      <c r="G391" s="5">
        <f>+'BIENIOS EDUARDO FREI M.'!BU391</f>
        <v>186</v>
      </c>
      <c r="H391" s="41">
        <f>+F391+G391</f>
        <v>2852.65</v>
      </c>
      <c r="I391" s="73">
        <v>12</v>
      </c>
      <c r="J391" s="112">
        <v>12</v>
      </c>
      <c r="K391" s="7"/>
      <c r="L391" s="52">
        <v>46342</v>
      </c>
      <c r="M391" s="7"/>
      <c r="N391" s="46" t="s">
        <v>302</v>
      </c>
      <c r="Z391" s="3" t="s">
        <v>299</v>
      </c>
      <c r="AA391" s="37">
        <v>0</v>
      </c>
      <c r="AB391" s="34">
        <v>0</v>
      </c>
      <c r="AC391" s="35">
        <v>0</v>
      </c>
      <c r="AD391" s="35">
        <v>0</v>
      </c>
      <c r="AE391" s="35">
        <v>0</v>
      </c>
      <c r="AF391" s="24">
        <v>0</v>
      </c>
      <c r="AG391" s="21">
        <f>+AF391-AE391</f>
        <v>0</v>
      </c>
      <c r="AH391" s="42">
        <v>0</v>
      </c>
      <c r="AI391" s="42">
        <f>+(0)+(0)+(0)+(0)+(0)+(108)</f>
        <v>108</v>
      </c>
      <c r="AJ391" s="35">
        <v>108</v>
      </c>
      <c r="AK391" s="17">
        <f>+AG391+(AH391+AI391)-AJ391</f>
        <v>0</v>
      </c>
      <c r="AL391" s="42">
        <f t="shared" si="201"/>
        <v>0</v>
      </c>
      <c r="AM391" s="42">
        <f t="shared" si="201"/>
        <v>0</v>
      </c>
      <c r="AN391" s="35">
        <v>0</v>
      </c>
      <c r="AO391" s="65">
        <f>+AK391+AL391+AM391-AN391</f>
        <v>0</v>
      </c>
      <c r="AP391" s="42">
        <f t="shared" si="184"/>
        <v>0</v>
      </c>
      <c r="AQ391" s="42">
        <f t="shared" si="184"/>
        <v>0</v>
      </c>
      <c r="AR391" s="68">
        <v>0</v>
      </c>
      <c r="AS391" s="71">
        <f>+AO391+AP391+AQ391-AR391</f>
        <v>0</v>
      </c>
      <c r="AT391" s="60">
        <f t="shared" si="185"/>
        <v>0</v>
      </c>
      <c r="AU391" s="60">
        <f t="shared" si="185"/>
        <v>0</v>
      </c>
      <c r="AV391" s="94">
        <v>0</v>
      </c>
      <c r="AW391" s="71">
        <f>+AS391+AT391+AU391-AV391</f>
        <v>0</v>
      </c>
      <c r="AX391" s="60">
        <f t="shared" si="275"/>
        <v>0</v>
      </c>
      <c r="AY391" s="113">
        <f t="shared" si="252"/>
        <v>0</v>
      </c>
      <c r="AZ391" s="72">
        <v>0</v>
      </c>
      <c r="BA391" s="72">
        <f>(+AW391+AX391+AY391)-AZ391</f>
        <v>0</v>
      </c>
      <c r="BB391" s="135">
        <f t="shared" si="220"/>
        <v>0</v>
      </c>
      <c r="BC391" s="135">
        <f>+(0)+(78)+(0)+(0)+(0)+(0)+(0)+(0)</f>
        <v>78</v>
      </c>
      <c r="BD391" s="50">
        <v>78</v>
      </c>
      <c r="BE391" s="50">
        <f>(BA391+BB391+BC391)-BD391</f>
        <v>0</v>
      </c>
      <c r="BF391" s="139"/>
      <c r="BG391" s="139"/>
      <c r="BH391" s="139"/>
      <c r="BI391" s="139"/>
      <c r="BJ391" s="139"/>
      <c r="BK391" s="139"/>
      <c r="BL391" s="139"/>
      <c r="BM391" s="139"/>
      <c r="BN391" s="139"/>
      <c r="BO391" s="139"/>
      <c r="BP391" s="139"/>
      <c r="BQ391" s="139"/>
      <c r="BR391" s="139"/>
      <c r="BS391" s="139"/>
      <c r="BT391" s="139"/>
      <c r="BU391" s="153">
        <f t="shared" si="588"/>
        <v>186</v>
      </c>
    </row>
    <row r="392" spans="2:73" ht="25.8" thickBot="1" x14ac:dyDescent="0.65">
      <c r="B392" s="3" t="s">
        <v>395</v>
      </c>
      <c r="C392" s="4" t="s">
        <v>165</v>
      </c>
      <c r="D392" s="11">
        <v>44927</v>
      </c>
      <c r="E392" s="5">
        <v>1</v>
      </c>
      <c r="F392" s="5">
        <f t="shared" ref="F392" si="650">+E392*$C$1</f>
        <v>533.33000000000004</v>
      </c>
      <c r="G392" s="5">
        <f t="shared" ref="G392" si="651">+BU392</f>
        <v>450</v>
      </c>
      <c r="H392" s="41">
        <f t="shared" ref="H392" si="652">+F392+G392</f>
        <v>983.33</v>
      </c>
      <c r="I392" s="73">
        <v>14</v>
      </c>
      <c r="J392" s="112">
        <v>14</v>
      </c>
      <c r="K392" s="7"/>
      <c r="L392" s="25">
        <v>46388</v>
      </c>
      <c r="M392" s="7"/>
      <c r="N392" s="46" t="s">
        <v>302</v>
      </c>
      <c r="Z392" s="3" t="s">
        <v>395</v>
      </c>
      <c r="AA392" s="34">
        <v>0</v>
      </c>
      <c r="AB392" s="34">
        <v>0</v>
      </c>
      <c r="AC392" s="35">
        <v>0</v>
      </c>
      <c r="AD392" s="35">
        <v>0</v>
      </c>
      <c r="AE392" s="35">
        <v>0</v>
      </c>
      <c r="AF392" s="24">
        <v>0</v>
      </c>
      <c r="AG392" s="21">
        <f>+AF392-AE392</f>
        <v>0</v>
      </c>
      <c r="AH392" s="42">
        <v>0</v>
      </c>
      <c r="AI392" s="42">
        <v>0</v>
      </c>
      <c r="AJ392" s="35">
        <v>0</v>
      </c>
      <c r="AK392" s="17">
        <f>+AG392+(AH392+AI392)-AJ392</f>
        <v>0</v>
      </c>
      <c r="AL392" s="42">
        <v>0</v>
      </c>
      <c r="AM392" s="42">
        <v>0</v>
      </c>
      <c r="AN392" s="35">
        <v>0</v>
      </c>
      <c r="AO392" s="24">
        <f>+AK392+AL392+AM392-AN392</f>
        <v>0</v>
      </c>
      <c r="AP392" s="42">
        <v>0</v>
      </c>
      <c r="AQ392" s="42">
        <v>0</v>
      </c>
      <c r="AR392" s="68">
        <v>0</v>
      </c>
      <c r="AS392" s="71">
        <f>+AO392+AP392+AQ392-AR392</f>
        <v>0</v>
      </c>
      <c r="AT392" s="60">
        <f>+(0)+(0)+(0)+(0)+(54)+(0)</f>
        <v>54</v>
      </c>
      <c r="AU392" s="60">
        <f>+(0)+(318)+(0)+(0)+(0)+(0)</f>
        <v>318</v>
      </c>
      <c r="AV392" s="94">
        <v>150</v>
      </c>
      <c r="AW392" s="71">
        <f>+AS392+AT392+AU392-AV392</f>
        <v>222</v>
      </c>
      <c r="AX392" s="60">
        <f>+(0)+(0)+(120)+(115.8)</f>
        <v>235.8</v>
      </c>
      <c r="AY392" s="113">
        <f>+(78)+(0)+(0)+(108)+(0)+(0)+(0)+(0)</f>
        <v>186</v>
      </c>
      <c r="AZ392" s="72">
        <v>150</v>
      </c>
      <c r="BA392" s="72">
        <f>(+AW392+AX392+AY392)-AZ392</f>
        <v>493.79999999999995</v>
      </c>
      <c r="BB392" s="135">
        <f t="shared" si="348"/>
        <v>0</v>
      </c>
      <c r="BC392" s="135">
        <f>+(21)+(0)+(0)+(0)+(0)+(0)+(0)+(0)</f>
        <v>21</v>
      </c>
      <c r="BD392" s="50">
        <v>150</v>
      </c>
      <c r="BE392" s="50">
        <f>(BA392+BB392+BC392)-BD392</f>
        <v>364.79999999999995</v>
      </c>
      <c r="BF392" s="139"/>
      <c r="BG392" s="139"/>
      <c r="BH392" s="139"/>
      <c r="BI392" s="139"/>
      <c r="BJ392" s="139"/>
      <c r="BK392" s="139"/>
      <c r="BL392" s="139"/>
      <c r="BM392" s="139"/>
      <c r="BN392" s="139"/>
      <c r="BO392" s="139"/>
      <c r="BP392" s="139"/>
      <c r="BQ392" s="139"/>
      <c r="BR392" s="139"/>
      <c r="BS392" s="139"/>
      <c r="BT392" s="139"/>
      <c r="BU392" s="153">
        <f t="shared" si="588"/>
        <v>450</v>
      </c>
    </row>
    <row r="393" spans="2:73" ht="25.8" thickBot="1" x14ac:dyDescent="0.65">
      <c r="B393" s="3" t="s">
        <v>445</v>
      </c>
      <c r="C393" s="4" t="s">
        <v>165</v>
      </c>
      <c r="D393" s="11">
        <v>45729</v>
      </c>
      <c r="E393" s="5">
        <v>0</v>
      </c>
      <c r="F393" s="5">
        <f t="shared" ref="F393" si="653">+E393*$C$1</f>
        <v>0</v>
      </c>
      <c r="G393" s="5">
        <f t="shared" ref="G393" si="654">+BU393</f>
        <v>0</v>
      </c>
      <c r="H393" s="41">
        <f t="shared" ref="H393" si="655">+F393+G393</f>
        <v>0</v>
      </c>
      <c r="I393" s="73">
        <v>15</v>
      </c>
      <c r="J393" s="112">
        <v>15</v>
      </c>
      <c r="K393" s="7"/>
      <c r="L393" s="25">
        <v>46459</v>
      </c>
      <c r="M393" s="7"/>
      <c r="N393" s="46" t="s">
        <v>302</v>
      </c>
      <c r="O393" s="1"/>
      <c r="P393" s="1"/>
      <c r="Q393" s="1"/>
      <c r="R393" s="1"/>
      <c r="S393" s="1"/>
      <c r="T393" s="1"/>
      <c r="U393" s="1"/>
      <c r="V393" s="1"/>
      <c r="W393" s="1"/>
      <c r="Z393" s="3" t="s">
        <v>445</v>
      </c>
      <c r="AA393" s="36"/>
      <c r="AB393" s="34"/>
      <c r="AC393" s="35"/>
      <c r="AD393" s="35"/>
      <c r="AE393" s="35"/>
      <c r="AF393" s="24"/>
      <c r="AG393" s="21"/>
      <c r="AH393" s="42"/>
      <c r="AI393" s="42"/>
      <c r="AJ393" s="35"/>
      <c r="AK393" s="17"/>
      <c r="AL393" s="42"/>
      <c r="AM393" s="42"/>
      <c r="AN393" s="35"/>
      <c r="AO393" s="24"/>
      <c r="AP393" s="42"/>
      <c r="AQ393" s="42"/>
      <c r="AR393" s="68"/>
      <c r="AS393" s="71"/>
      <c r="AT393" s="60"/>
      <c r="AU393" s="60"/>
      <c r="AV393" s="94"/>
      <c r="AW393" s="71"/>
      <c r="AX393" s="60"/>
      <c r="AY393" s="113"/>
      <c r="AZ393" s="72"/>
      <c r="BA393" s="72"/>
      <c r="BB393" s="135">
        <f t="shared" si="17"/>
        <v>0</v>
      </c>
      <c r="BC393" s="135">
        <f t="shared" si="18"/>
        <v>0</v>
      </c>
      <c r="BD393" s="50">
        <v>0</v>
      </c>
      <c r="BE393" s="50">
        <f t="shared" ref="BE393" si="656">(BA393+BB393+BC393)-BD393</f>
        <v>0</v>
      </c>
      <c r="BF393" s="139"/>
      <c r="BG393" s="139"/>
      <c r="BH393" s="139"/>
      <c r="BI393" s="139"/>
      <c r="BJ393" s="139"/>
      <c r="BK393" s="139"/>
      <c r="BL393" s="139"/>
      <c r="BM393" s="139"/>
      <c r="BN393" s="139"/>
      <c r="BO393" s="139"/>
      <c r="BP393" s="139"/>
      <c r="BQ393" s="139"/>
      <c r="BR393" s="139"/>
      <c r="BS393" s="139"/>
      <c r="BT393" s="139"/>
      <c r="BU393" s="153">
        <f t="shared" si="588"/>
        <v>0</v>
      </c>
    </row>
    <row r="394" spans="2:73" ht="25.8" thickBot="1" x14ac:dyDescent="0.65">
      <c r="B394" s="3" t="s">
        <v>498</v>
      </c>
      <c r="C394" s="4" t="s">
        <v>168</v>
      </c>
      <c r="D394" s="11">
        <v>45792</v>
      </c>
      <c r="E394" s="51">
        <v>0</v>
      </c>
      <c r="F394" s="5">
        <f>+E394*$C$1</f>
        <v>0</v>
      </c>
      <c r="G394" s="5">
        <f>+'BIENIOS EDUARDO FREI M.'!BU394</f>
        <v>0</v>
      </c>
      <c r="H394" s="41">
        <f>+F394+G394</f>
        <v>0</v>
      </c>
      <c r="I394" s="73">
        <v>15</v>
      </c>
      <c r="J394" s="112">
        <v>15</v>
      </c>
      <c r="K394" s="7"/>
      <c r="L394" s="52">
        <v>46522</v>
      </c>
      <c r="M394" s="7"/>
      <c r="N394" s="46" t="s">
        <v>302</v>
      </c>
      <c r="Z394" s="3" t="s">
        <v>498</v>
      </c>
      <c r="AA394" s="37"/>
      <c r="AB394" s="34"/>
      <c r="AC394" s="35"/>
      <c r="AD394" s="35"/>
      <c r="AE394" s="35"/>
      <c r="AF394" s="24"/>
      <c r="AG394" s="21"/>
      <c r="AH394" s="42"/>
      <c r="AI394" s="42"/>
      <c r="AJ394" s="35"/>
      <c r="AK394" s="17"/>
      <c r="AL394" s="42"/>
      <c r="AM394" s="42"/>
      <c r="AN394" s="35"/>
      <c r="AO394" s="24"/>
      <c r="AP394" s="42"/>
      <c r="AQ394" s="42"/>
      <c r="AR394" s="68"/>
      <c r="AS394" s="71"/>
      <c r="AT394" s="60"/>
      <c r="AU394" s="60"/>
      <c r="AV394" s="94"/>
      <c r="AW394" s="71"/>
      <c r="AX394" s="60"/>
      <c r="AY394" s="113"/>
      <c r="AZ394" s="72"/>
      <c r="BA394" s="72"/>
      <c r="BB394" s="135">
        <f t="shared" si="106"/>
        <v>0</v>
      </c>
      <c r="BC394" s="135">
        <f t="shared" si="116"/>
        <v>0</v>
      </c>
      <c r="BD394" s="50">
        <v>0</v>
      </c>
      <c r="BE394" s="50">
        <f t="shared" ref="BE394" si="657">(BA394+BB394+BC394)-BD394</f>
        <v>0</v>
      </c>
      <c r="BF394" s="139"/>
      <c r="BG394" s="139"/>
      <c r="BH394" s="139"/>
      <c r="BI394" s="139"/>
      <c r="BJ394" s="139"/>
      <c r="BK394" s="139"/>
      <c r="BL394" s="139"/>
      <c r="BM394" s="139"/>
      <c r="BN394" s="139"/>
      <c r="BO394" s="139"/>
      <c r="BP394" s="139"/>
      <c r="BQ394" s="139"/>
      <c r="BR394" s="139"/>
      <c r="BS394" s="139"/>
      <c r="BT394" s="139"/>
      <c r="BU394" s="153">
        <f t="shared" si="588"/>
        <v>0</v>
      </c>
    </row>
    <row r="395" spans="2:73" ht="25.8" thickBot="1" x14ac:dyDescent="0.65">
      <c r="B395" s="3" t="s">
        <v>492</v>
      </c>
      <c r="C395" s="4" t="s">
        <v>165</v>
      </c>
      <c r="D395" s="10">
        <v>45741</v>
      </c>
      <c r="E395" s="5">
        <v>0</v>
      </c>
      <c r="F395" s="5">
        <f t="shared" ref="F395" si="658">+E395*$C$1</f>
        <v>0</v>
      </c>
      <c r="G395" s="5">
        <f t="shared" ref="G395" si="659">+BU395</f>
        <v>0</v>
      </c>
      <c r="H395" s="41">
        <f t="shared" ref="H395" si="660">+F395+G395</f>
        <v>0</v>
      </c>
      <c r="I395" s="73">
        <v>15</v>
      </c>
      <c r="J395" s="112">
        <v>15</v>
      </c>
      <c r="K395" s="7"/>
      <c r="L395" s="179" t="s">
        <v>441</v>
      </c>
      <c r="M395" s="7"/>
      <c r="N395" s="46" t="s">
        <v>302</v>
      </c>
      <c r="O395" s="1"/>
      <c r="P395" s="1"/>
      <c r="Q395" s="1"/>
      <c r="R395" s="1"/>
      <c r="S395" s="1"/>
      <c r="T395" s="1"/>
      <c r="U395" s="1"/>
      <c r="V395" s="1"/>
      <c r="W395" s="1"/>
      <c r="Z395" s="3" t="s">
        <v>492</v>
      </c>
      <c r="AA395" s="36"/>
      <c r="AB395" s="34"/>
      <c r="AC395" s="35"/>
      <c r="AD395" s="35"/>
      <c r="AE395" s="35"/>
      <c r="AF395" s="24"/>
      <c r="AG395" s="21"/>
      <c r="AH395" s="42"/>
      <c r="AI395" s="42"/>
      <c r="AJ395" s="35"/>
      <c r="AK395" s="17"/>
      <c r="AL395" s="42"/>
      <c r="AM395" s="42"/>
      <c r="AN395" s="35"/>
      <c r="AO395" s="24"/>
      <c r="AP395" s="42"/>
      <c r="AQ395" s="42"/>
      <c r="AR395" s="68"/>
      <c r="AS395" s="71"/>
      <c r="AT395" s="60"/>
      <c r="AU395" s="60"/>
      <c r="AV395" s="94"/>
      <c r="AW395" s="71"/>
      <c r="AX395" s="60"/>
      <c r="AY395" s="113"/>
      <c r="AZ395" s="72"/>
      <c r="BA395" s="72"/>
      <c r="BB395" s="135">
        <f t="shared" si="220"/>
        <v>0</v>
      </c>
      <c r="BC395" s="135">
        <f t="shared" si="217"/>
        <v>0</v>
      </c>
      <c r="BD395" s="50">
        <v>0</v>
      </c>
      <c r="BE395" s="50">
        <f>(BA395+BB395+BC395)-BD395</f>
        <v>0</v>
      </c>
      <c r="BF395" s="139"/>
      <c r="BG395" s="139"/>
      <c r="BH395" s="139"/>
      <c r="BI395" s="139"/>
      <c r="BJ395" s="139"/>
      <c r="BK395" s="139"/>
      <c r="BL395" s="139"/>
      <c r="BM395" s="139"/>
      <c r="BN395" s="139"/>
      <c r="BO395" s="139"/>
      <c r="BP395" s="139"/>
      <c r="BQ395" s="139"/>
      <c r="BR395" s="139"/>
      <c r="BS395" s="139"/>
      <c r="BT395" s="139"/>
      <c r="BU395" s="153">
        <f t="shared" ref="BU395" si="661">SUM(AA395:AD395)+AE395+AJ395+AN395+AR395+AV395+AZ395+BD395</f>
        <v>0</v>
      </c>
    </row>
    <row r="396" spans="2:73" ht="25.8" thickBot="1" x14ac:dyDescent="0.65">
      <c r="B396" s="3" t="s">
        <v>461</v>
      </c>
      <c r="C396" s="4" t="s">
        <v>165</v>
      </c>
      <c r="D396" s="11">
        <v>45502</v>
      </c>
      <c r="E396" s="5">
        <v>0</v>
      </c>
      <c r="F396" s="5">
        <f t="shared" ref="F396" si="662">+E396*$C$1</f>
        <v>0</v>
      </c>
      <c r="G396" s="5">
        <f t="shared" ref="G396" si="663">+BU396</f>
        <v>132</v>
      </c>
      <c r="H396" s="41">
        <f t="shared" ref="H396" si="664">+F396+G396</f>
        <v>132</v>
      </c>
      <c r="I396" s="73">
        <v>15</v>
      </c>
      <c r="J396" s="112">
        <v>15</v>
      </c>
      <c r="K396" s="7"/>
      <c r="L396" s="179" t="s">
        <v>441</v>
      </c>
      <c r="M396" s="7"/>
      <c r="N396" s="46" t="s">
        <v>302</v>
      </c>
      <c r="Z396" s="3" t="s">
        <v>461</v>
      </c>
      <c r="AA396" s="34"/>
      <c r="AB396" s="34"/>
      <c r="AC396" s="35"/>
      <c r="AD396" s="35"/>
      <c r="AE396" s="35"/>
      <c r="AF396" s="24"/>
      <c r="AG396" s="21"/>
      <c r="AH396" s="42"/>
      <c r="AI396" s="42"/>
      <c r="AJ396" s="35"/>
      <c r="AK396" s="17"/>
      <c r="AL396" s="42"/>
      <c r="AM396" s="42"/>
      <c r="AN396" s="35"/>
      <c r="AO396" s="24"/>
      <c r="AP396" s="42"/>
      <c r="AQ396" s="42"/>
      <c r="AR396" s="68"/>
      <c r="AS396" s="71"/>
      <c r="AT396" s="60"/>
      <c r="AU396" s="60"/>
      <c r="AV396" s="94"/>
      <c r="AW396" s="71"/>
      <c r="AX396" s="60">
        <f t="shared" si="63"/>
        <v>0</v>
      </c>
      <c r="AY396" s="113">
        <f t="shared" si="16"/>
        <v>0</v>
      </c>
      <c r="AZ396" s="72">
        <v>0</v>
      </c>
      <c r="BA396" s="72">
        <f>(+AW396+AX396+AY396)-AZ396</f>
        <v>0</v>
      </c>
      <c r="BB396" s="135">
        <f>+(0)+(0)+(0)+(54)</f>
        <v>54</v>
      </c>
      <c r="BC396" s="135">
        <f>+(0)+(0)+(78)+(0)+(0)+(0)+(0)+(0)</f>
        <v>78</v>
      </c>
      <c r="BD396" s="50">
        <v>132</v>
      </c>
      <c r="BE396" s="50">
        <f>(BA396+BB396+BC396)-BD396</f>
        <v>0</v>
      </c>
      <c r="BG396" s="139">
        <v>0</v>
      </c>
      <c r="BH396" s="139">
        <v>0</v>
      </c>
      <c r="BI396" s="139">
        <v>0</v>
      </c>
      <c r="BJ396" s="139">
        <v>0</v>
      </c>
      <c r="BK396" s="139">
        <v>0</v>
      </c>
      <c r="BL396" s="139">
        <v>0</v>
      </c>
      <c r="BM396" s="139">
        <v>0</v>
      </c>
      <c r="BN396" s="139">
        <v>0</v>
      </c>
      <c r="BO396" s="139">
        <v>0</v>
      </c>
      <c r="BP396" s="139">
        <v>0</v>
      </c>
      <c r="BQ396" s="139">
        <v>0</v>
      </c>
      <c r="BR396" s="139">
        <v>0</v>
      </c>
      <c r="BS396" s="139">
        <v>0</v>
      </c>
      <c r="BT396" s="205">
        <f>+BE396+SUM(BG396:BJ396)+SUM(BK396:BR396)-BS396</f>
        <v>0</v>
      </c>
      <c r="BU396" s="153">
        <f>SUM(AA396:AD396)+AE396+AJ396+AN396+AR396+AV396+AZ396+BD396+BS396</f>
        <v>132</v>
      </c>
    </row>
    <row r="397" spans="2:73" ht="25.8" thickBot="1" x14ac:dyDescent="0.65">
      <c r="B397" s="3" t="s">
        <v>389</v>
      </c>
      <c r="C397" s="4" t="s">
        <v>165</v>
      </c>
      <c r="D397" s="11">
        <v>44927</v>
      </c>
      <c r="E397" s="5">
        <v>1</v>
      </c>
      <c r="F397" s="5">
        <f t="shared" ref="F397" si="665">+E397*$C$1</f>
        <v>533.33000000000004</v>
      </c>
      <c r="G397" s="5">
        <f t="shared" ref="G397" si="666">+BU397</f>
        <v>204</v>
      </c>
      <c r="H397" s="41">
        <f t="shared" ref="H397" si="667">+F397+G397</f>
        <v>737.33</v>
      </c>
      <c r="I397" s="73">
        <v>15</v>
      </c>
      <c r="J397" s="112">
        <v>15</v>
      </c>
      <c r="K397" s="7"/>
      <c r="L397" s="25">
        <v>46388</v>
      </c>
      <c r="M397" s="7"/>
      <c r="N397" s="46" t="s">
        <v>302</v>
      </c>
      <c r="Z397" s="3" t="s">
        <v>389</v>
      </c>
      <c r="AA397" s="34">
        <v>0</v>
      </c>
      <c r="AB397" s="34">
        <v>0</v>
      </c>
      <c r="AC397" s="35">
        <v>0</v>
      </c>
      <c r="AD397" s="35">
        <v>0</v>
      </c>
      <c r="AE397" s="35">
        <v>0</v>
      </c>
      <c r="AF397" s="24">
        <v>0</v>
      </c>
      <c r="AG397" s="21">
        <f>+AF397-AE397</f>
        <v>0</v>
      </c>
      <c r="AH397" s="42">
        <v>0</v>
      </c>
      <c r="AI397" s="42">
        <v>0</v>
      </c>
      <c r="AJ397" s="35">
        <v>0</v>
      </c>
      <c r="AK397" s="17">
        <f>+AG397+(AH397+AI397)-AJ397</f>
        <v>0</v>
      </c>
      <c r="AL397" s="42">
        <v>0</v>
      </c>
      <c r="AM397" s="42">
        <v>0</v>
      </c>
      <c r="AN397" s="35">
        <v>0</v>
      </c>
      <c r="AO397" s="65">
        <f>+AK397+AL397+AM397-AN397</f>
        <v>0</v>
      </c>
      <c r="AP397" s="42">
        <v>0</v>
      </c>
      <c r="AQ397" s="42">
        <v>0</v>
      </c>
      <c r="AR397" s="68">
        <v>0</v>
      </c>
      <c r="AS397" s="71">
        <f>+AO397+AP397+AQ397-AR397</f>
        <v>0</v>
      </c>
      <c r="AT397" s="60">
        <f>+(0)+(0)+(0)+(0)+(54)+(0)</f>
        <v>54</v>
      </c>
      <c r="AU397" s="60">
        <f t="shared" si="127"/>
        <v>0</v>
      </c>
      <c r="AV397" s="94">
        <v>54</v>
      </c>
      <c r="AW397" s="71">
        <f>+AS397+AT397+AU397-AV397</f>
        <v>0</v>
      </c>
      <c r="AX397" s="60">
        <f t="shared" si="157"/>
        <v>0</v>
      </c>
      <c r="AY397" s="113">
        <f t="shared" si="149"/>
        <v>0</v>
      </c>
      <c r="AZ397" s="72">
        <v>0</v>
      </c>
      <c r="BA397" s="72">
        <f>(+AW397+AX397+AY397)-AZ397</f>
        <v>0</v>
      </c>
      <c r="BB397" s="135">
        <f t="shared" si="106"/>
        <v>0</v>
      </c>
      <c r="BC397" s="135">
        <f>+(0)+(0)+(0)+(204)+(0)+(0)+(0)+(0)</f>
        <v>204</v>
      </c>
      <c r="BD397" s="50">
        <v>150</v>
      </c>
      <c r="BE397" s="50">
        <f>(BA397+BB397+BC397)-BD397</f>
        <v>54</v>
      </c>
      <c r="BG397" s="139">
        <v>0</v>
      </c>
      <c r="BH397" s="139">
        <v>0</v>
      </c>
      <c r="BI397" s="139">
        <v>0</v>
      </c>
      <c r="BJ397" s="139">
        <v>0</v>
      </c>
      <c r="BK397" s="139">
        <v>0</v>
      </c>
      <c r="BL397" s="139">
        <v>0</v>
      </c>
      <c r="BM397" s="139">
        <v>0</v>
      </c>
      <c r="BN397" s="139">
        <v>0</v>
      </c>
      <c r="BO397" s="139">
        <v>0</v>
      </c>
      <c r="BP397" s="139">
        <v>0</v>
      </c>
      <c r="BQ397" s="139">
        <v>0</v>
      </c>
      <c r="BR397" s="139">
        <v>0</v>
      </c>
      <c r="BS397" s="139">
        <v>0</v>
      </c>
      <c r="BT397" s="205">
        <f>+BE397+SUM(BG397:BJ397)+SUM(BK397:BR397)-BS397</f>
        <v>54</v>
      </c>
      <c r="BU397" s="153">
        <f>SUM(AA397:AD397)+AE397+AJ397+AN397+AR397+AV397+AZ397+BD397+BS397</f>
        <v>204</v>
      </c>
    </row>
    <row r="398" spans="2:73" ht="25.8" thickBot="1" x14ac:dyDescent="0.65">
      <c r="B398" s="3" t="s">
        <v>499</v>
      </c>
      <c r="C398" s="4" t="s">
        <v>164</v>
      </c>
      <c r="D398" s="11">
        <v>45792</v>
      </c>
      <c r="E398" s="5">
        <v>0</v>
      </c>
      <c r="F398" s="5">
        <f t="shared" ref="F398" si="668">+E398*$C$1</f>
        <v>0</v>
      </c>
      <c r="G398" s="5">
        <f t="shared" ref="G398" si="669">+BU398</f>
        <v>0</v>
      </c>
      <c r="H398" s="41">
        <f t="shared" ref="H398" si="670">+F398+G398</f>
        <v>0</v>
      </c>
      <c r="I398" s="73">
        <v>15</v>
      </c>
      <c r="J398" s="112">
        <v>15</v>
      </c>
      <c r="K398" s="7"/>
      <c r="L398" s="179" t="s">
        <v>441</v>
      </c>
      <c r="M398" s="7"/>
      <c r="N398" s="46" t="s">
        <v>302</v>
      </c>
      <c r="O398" s="1"/>
      <c r="P398" s="1"/>
      <c r="Q398" s="1"/>
      <c r="R398" s="1"/>
      <c r="S398" s="1"/>
      <c r="T398" s="1"/>
      <c r="U398" s="1"/>
      <c r="V398" s="1"/>
      <c r="W398" s="1"/>
      <c r="Z398" s="3" t="s">
        <v>499</v>
      </c>
      <c r="AA398" s="34"/>
      <c r="AB398" s="34"/>
      <c r="AC398" s="35"/>
      <c r="AD398" s="35"/>
      <c r="AE398" s="35"/>
      <c r="AF398" s="24"/>
      <c r="AG398" s="21"/>
      <c r="AH398" s="42"/>
      <c r="AI398" s="42"/>
      <c r="AJ398" s="35"/>
      <c r="AK398" s="17"/>
      <c r="AL398" s="42"/>
      <c r="AM398" s="42"/>
      <c r="AN398" s="35"/>
      <c r="AO398" s="24"/>
      <c r="AP398" s="42"/>
      <c r="AQ398" s="42"/>
      <c r="AR398" s="68"/>
      <c r="AS398" s="71"/>
      <c r="AT398" s="60"/>
      <c r="AU398" s="60"/>
      <c r="AV398" s="94"/>
      <c r="AW398" s="71"/>
      <c r="AX398" s="60"/>
      <c r="AY398" s="113"/>
      <c r="AZ398" s="71"/>
      <c r="BA398" s="71"/>
      <c r="BB398" s="135">
        <f t="shared" si="106"/>
        <v>0</v>
      </c>
      <c r="BC398" s="135">
        <f t="shared" si="116"/>
        <v>0</v>
      </c>
      <c r="BD398" s="50">
        <v>0</v>
      </c>
      <c r="BE398" s="50">
        <f t="shared" ref="BE398" si="671">(BA398+BB398+BC398)-BD398</f>
        <v>0</v>
      </c>
      <c r="BG398" s="139">
        <v>0</v>
      </c>
      <c r="BH398" s="139">
        <v>0</v>
      </c>
      <c r="BI398" s="139">
        <v>0</v>
      </c>
      <c r="BJ398" s="139">
        <v>0</v>
      </c>
      <c r="BK398" s="139">
        <v>0</v>
      </c>
      <c r="BL398" s="139">
        <v>0</v>
      </c>
      <c r="BM398" s="139">
        <v>0</v>
      </c>
      <c r="BN398" s="139">
        <v>0</v>
      </c>
      <c r="BO398" s="139">
        <v>0</v>
      </c>
      <c r="BP398" s="139">
        <v>0</v>
      </c>
      <c r="BQ398" s="139">
        <v>0</v>
      </c>
      <c r="BR398" s="139">
        <v>0</v>
      </c>
      <c r="BS398" s="139">
        <v>0</v>
      </c>
      <c r="BT398" s="205">
        <f>+BE398+SUM(BG398:BJ398)+SUM(BK398:BR398)-BS398</f>
        <v>0</v>
      </c>
      <c r="BU398" s="153">
        <f>SUM(AA398:AD398)+AE398+AJ398+AN398+AR398+AV398+AZ398+BD398+BS398</f>
        <v>0</v>
      </c>
    </row>
    <row r="399" spans="2:73" ht="25.8" thickBot="1" x14ac:dyDescent="0.65">
      <c r="B399" s="3" t="s">
        <v>454</v>
      </c>
      <c r="C399" s="4" t="s">
        <v>168</v>
      </c>
      <c r="D399" s="11">
        <v>45446</v>
      </c>
      <c r="E399" s="5">
        <v>0</v>
      </c>
      <c r="F399" s="5">
        <f>+E399*$C$1</f>
        <v>0</v>
      </c>
      <c r="G399" s="5">
        <f t="shared" ref="G399" si="672">+BU399</f>
        <v>0</v>
      </c>
      <c r="H399" s="41">
        <f>+F399+G399</f>
        <v>0</v>
      </c>
      <c r="I399" s="73">
        <v>15</v>
      </c>
      <c r="J399" s="112">
        <v>15</v>
      </c>
      <c r="K399" s="7"/>
      <c r="L399" s="118">
        <v>46176</v>
      </c>
      <c r="M399" s="7"/>
      <c r="N399" s="46" t="s">
        <v>302</v>
      </c>
      <c r="Z399" s="3" t="s">
        <v>454</v>
      </c>
      <c r="AA399" s="34"/>
      <c r="AB399" s="34"/>
      <c r="AC399" s="35"/>
      <c r="AD399" s="35"/>
      <c r="AE399" s="35"/>
      <c r="AF399" s="24"/>
      <c r="AG399" s="21"/>
      <c r="AH399" s="42"/>
      <c r="AI399" s="42"/>
      <c r="AJ399" s="35"/>
      <c r="AK399" s="17"/>
      <c r="AL399" s="42"/>
      <c r="AM399" s="42"/>
      <c r="AN399" s="35"/>
      <c r="AO399" s="24"/>
      <c r="AP399" s="42"/>
      <c r="AQ399" s="42"/>
      <c r="AR399" s="68"/>
      <c r="AS399" s="71"/>
      <c r="AT399" s="60"/>
      <c r="AU399" s="60"/>
      <c r="AV399" s="94"/>
      <c r="AW399" s="71"/>
      <c r="AX399" s="60"/>
      <c r="AY399" s="113"/>
      <c r="AZ399" s="72"/>
      <c r="BA399" s="72"/>
      <c r="BB399" s="135">
        <f t="shared" si="220"/>
        <v>0</v>
      </c>
      <c r="BC399" s="135">
        <f t="shared" si="217"/>
        <v>0</v>
      </c>
      <c r="BD399" s="50">
        <v>0</v>
      </c>
      <c r="BE399" s="50">
        <f>(BA399+BB399+BC399)-BD399</f>
        <v>0</v>
      </c>
      <c r="BG399" s="139">
        <v>0</v>
      </c>
      <c r="BH399" s="139">
        <v>0</v>
      </c>
      <c r="BI399" s="139">
        <v>0</v>
      </c>
      <c r="BJ399" s="139">
        <v>0</v>
      </c>
      <c r="BK399" s="139">
        <v>0</v>
      </c>
      <c r="BL399" s="139">
        <v>0</v>
      </c>
      <c r="BM399" s="139">
        <v>0</v>
      </c>
      <c r="BN399" s="139">
        <v>0</v>
      </c>
      <c r="BO399" s="139">
        <v>0</v>
      </c>
      <c r="BP399" s="139">
        <v>0</v>
      </c>
      <c r="BQ399" s="139">
        <v>0</v>
      </c>
      <c r="BR399" s="139">
        <v>0</v>
      </c>
      <c r="BS399" s="139">
        <v>0</v>
      </c>
      <c r="BT399" s="205">
        <f>+BE399+SUM(BG399:BJ399)+SUM(BK399:BR399)-BS399</f>
        <v>0</v>
      </c>
      <c r="BU399" s="153">
        <f>SUM(AA399:AD399)+AE399+AJ399+AN399+AR399+AV399+AZ399+BD399+BS399</f>
        <v>0</v>
      </c>
    </row>
    <row r="400" spans="2:73" ht="25.8" thickBot="1" x14ac:dyDescent="0.65">
      <c r="B400" s="3" t="s">
        <v>445</v>
      </c>
      <c r="C400" s="4" t="s">
        <v>165</v>
      </c>
      <c r="D400" s="11">
        <v>45729</v>
      </c>
      <c r="E400" s="5">
        <v>0</v>
      </c>
      <c r="F400" s="5">
        <f>+E400*$C$1</f>
        <v>0</v>
      </c>
      <c r="G400" s="5">
        <f>+BU400</f>
        <v>0</v>
      </c>
      <c r="H400" s="41">
        <f>+F400+G400</f>
        <v>0</v>
      </c>
      <c r="I400" s="73">
        <v>15</v>
      </c>
      <c r="J400" s="112">
        <v>15</v>
      </c>
      <c r="K400" s="7"/>
      <c r="L400" s="25">
        <v>46459</v>
      </c>
      <c r="M400" s="7"/>
      <c r="N400" s="46" t="s">
        <v>302</v>
      </c>
      <c r="O400" s="1"/>
      <c r="P400" s="1"/>
      <c r="Q400" s="1"/>
      <c r="R400" s="1"/>
      <c r="S400" s="1"/>
      <c r="T400" s="1"/>
      <c r="U400" s="1"/>
      <c r="V400" s="1"/>
      <c r="W400" s="1"/>
      <c r="Z400" s="3" t="s">
        <v>445</v>
      </c>
      <c r="AA400" s="36"/>
      <c r="AB400" s="34"/>
      <c r="AC400" s="35"/>
      <c r="AD400" s="35"/>
      <c r="AE400" s="35"/>
      <c r="AF400" s="24"/>
      <c r="AG400" s="21"/>
      <c r="AH400" s="42"/>
      <c r="AI400" s="42"/>
      <c r="AJ400" s="35"/>
      <c r="AK400" s="17"/>
      <c r="AL400" s="42"/>
      <c r="AM400" s="42"/>
      <c r="AN400" s="35"/>
      <c r="AO400" s="24"/>
      <c r="AP400" s="42"/>
      <c r="AQ400" s="42"/>
      <c r="AR400" s="68"/>
      <c r="AS400" s="71"/>
      <c r="AT400" s="60"/>
      <c r="AU400" s="60"/>
      <c r="AV400" s="94"/>
      <c r="AW400" s="71"/>
      <c r="AX400" s="60"/>
      <c r="AY400" s="113"/>
      <c r="AZ400" s="72"/>
      <c r="BA400" s="72"/>
      <c r="BB400" s="135">
        <f t="shared" si="17"/>
        <v>0</v>
      </c>
      <c r="BC400" s="135">
        <f t="shared" si="18"/>
        <v>0</v>
      </c>
      <c r="BD400" s="50">
        <v>0</v>
      </c>
      <c r="BE400" s="50">
        <f>(BA400+BB400+BC400)-BD400</f>
        <v>0</v>
      </c>
      <c r="BG400" s="139">
        <v>0</v>
      </c>
      <c r="BH400" s="139">
        <v>0</v>
      </c>
      <c r="BI400" s="139">
        <v>0</v>
      </c>
      <c r="BJ400" s="139">
        <v>0</v>
      </c>
      <c r="BK400" s="139">
        <v>0</v>
      </c>
      <c r="BL400" s="139">
        <v>0</v>
      </c>
      <c r="BM400" s="139">
        <v>0</v>
      </c>
      <c r="BN400" s="139">
        <v>0</v>
      </c>
      <c r="BO400" s="139">
        <v>0</v>
      </c>
      <c r="BP400" s="139">
        <v>0</v>
      </c>
      <c r="BQ400" s="139">
        <v>0</v>
      </c>
      <c r="BR400" s="139">
        <v>0</v>
      </c>
      <c r="BS400" s="206">
        <v>0</v>
      </c>
      <c r="BT400" s="205">
        <f t="shared" ref="BT400" si="673">+BE400+SUM(BG400:BJ400)+SUM(BK400:BR400)-BS400</f>
        <v>0</v>
      </c>
      <c r="BU400" s="153">
        <f t="shared" ref="BU400" si="674">SUM(AA400:AD400)+AE400+AJ400+AN400+AR400+AV400+AZ400+BD400+BS400</f>
        <v>0</v>
      </c>
    </row>
    <row r="401" spans="2:73" ht="25.8" thickBot="1" x14ac:dyDescent="0.65">
      <c r="B401" s="3" t="s">
        <v>497</v>
      </c>
      <c r="C401" s="4" t="s">
        <v>164</v>
      </c>
      <c r="D401" s="11">
        <v>45792</v>
      </c>
      <c r="E401" s="5">
        <v>0</v>
      </c>
      <c r="F401" s="5">
        <f t="shared" ref="F401" si="675">+E401*$C$1</f>
        <v>0</v>
      </c>
      <c r="G401" s="5">
        <f t="shared" ref="G401" si="676">+BU401</f>
        <v>0</v>
      </c>
      <c r="H401" s="41">
        <f t="shared" ref="H401" si="677">+F401+G401</f>
        <v>0</v>
      </c>
      <c r="I401" s="73">
        <v>15</v>
      </c>
      <c r="J401" s="112">
        <v>15</v>
      </c>
      <c r="K401" s="7"/>
      <c r="L401" s="179" t="s">
        <v>441</v>
      </c>
      <c r="M401" s="7"/>
      <c r="N401" s="46" t="s">
        <v>302</v>
      </c>
      <c r="Z401" s="3" t="s">
        <v>497</v>
      </c>
      <c r="AA401" s="36"/>
      <c r="AB401" s="34"/>
      <c r="AC401" s="35"/>
      <c r="AD401" s="35"/>
      <c r="AE401" s="35"/>
      <c r="AF401" s="24"/>
      <c r="AG401" s="21"/>
      <c r="AH401" s="42"/>
      <c r="AI401" s="42"/>
      <c r="AJ401" s="35"/>
      <c r="AK401" s="17"/>
      <c r="AL401" s="42"/>
      <c r="AM401" s="42"/>
      <c r="AN401" s="35"/>
      <c r="AO401" s="24"/>
      <c r="AP401" s="42"/>
      <c r="AQ401" s="42"/>
      <c r="AR401" s="68"/>
      <c r="AS401" s="71"/>
      <c r="AT401" s="60"/>
      <c r="AU401" s="60"/>
      <c r="AV401" s="94"/>
      <c r="AW401" s="71"/>
      <c r="AX401" s="60"/>
      <c r="AY401" s="113"/>
      <c r="AZ401" s="72"/>
      <c r="BA401" s="72"/>
      <c r="BB401" s="135">
        <f t="shared" si="106"/>
        <v>0</v>
      </c>
      <c r="BC401" s="135">
        <f t="shared" si="116"/>
        <v>0</v>
      </c>
      <c r="BD401" s="50">
        <v>0</v>
      </c>
      <c r="BE401" s="50">
        <f t="shared" ref="BE401" si="678">(BA401+BB401+BC401)-BD401</f>
        <v>0</v>
      </c>
      <c r="BG401" s="139">
        <v>0</v>
      </c>
      <c r="BH401" s="139">
        <v>0</v>
      </c>
      <c r="BI401" s="139">
        <v>0</v>
      </c>
      <c r="BJ401" s="139">
        <v>0</v>
      </c>
      <c r="BK401" s="139">
        <v>0</v>
      </c>
      <c r="BL401" s="139">
        <v>0</v>
      </c>
      <c r="BM401" s="139">
        <v>0</v>
      </c>
      <c r="BN401" s="139">
        <v>0</v>
      </c>
      <c r="BO401" s="139">
        <v>0</v>
      </c>
      <c r="BP401" s="139">
        <v>0</v>
      </c>
      <c r="BQ401" s="139">
        <v>0</v>
      </c>
      <c r="BR401" s="139">
        <v>0</v>
      </c>
      <c r="BS401" s="206">
        <v>0</v>
      </c>
      <c r="BT401" s="205">
        <f>+BE401+SUM(BG401:BJ401)+SUM(BK401:BR401)-BS401</f>
        <v>0</v>
      </c>
      <c r="BU401" s="153">
        <f>SUM(AA401:AD401)+AE401+AJ401+AN401+AR401+AV401+AZ401+BD401+BS401</f>
        <v>0</v>
      </c>
    </row>
    <row r="402" spans="2:73" ht="25.8" thickBot="1" x14ac:dyDescent="0.65">
      <c r="B402" s="3" t="s">
        <v>481</v>
      </c>
      <c r="C402" s="4" t="s">
        <v>168</v>
      </c>
      <c r="D402" s="11">
        <v>45681</v>
      </c>
      <c r="E402" s="5">
        <v>0</v>
      </c>
      <c r="F402" s="5">
        <f>+E402*$C$1</f>
        <v>0</v>
      </c>
      <c r="G402" s="5">
        <f t="shared" ref="G402" si="679">+BU402</f>
        <v>0</v>
      </c>
      <c r="H402" s="41">
        <f t="shared" ref="H402" si="680">+F402+G402</f>
        <v>0</v>
      </c>
      <c r="I402" s="73">
        <v>15</v>
      </c>
      <c r="J402" s="112">
        <v>15</v>
      </c>
      <c r="K402" s="7"/>
      <c r="L402" s="179" t="s">
        <v>441</v>
      </c>
      <c r="M402" s="7"/>
      <c r="N402" s="46" t="s">
        <v>302</v>
      </c>
      <c r="Z402" s="3" t="s">
        <v>481</v>
      </c>
      <c r="AA402" s="34"/>
      <c r="AB402" s="34"/>
      <c r="AC402" s="35"/>
      <c r="AD402" s="35"/>
      <c r="AE402" s="35"/>
      <c r="AF402" s="24"/>
      <c r="AG402" s="21"/>
      <c r="AH402" s="42"/>
      <c r="AI402" s="42"/>
      <c r="AJ402" s="35"/>
      <c r="AK402" s="17"/>
      <c r="AL402" s="42"/>
      <c r="AM402" s="42"/>
      <c r="AN402" s="35"/>
      <c r="AO402" s="24"/>
      <c r="AP402" s="42"/>
      <c r="AQ402" s="42"/>
      <c r="AR402" s="68"/>
      <c r="AS402" s="71"/>
      <c r="AT402" s="60"/>
      <c r="AU402" s="60"/>
      <c r="AV402" s="94"/>
      <c r="AW402" s="71"/>
      <c r="AX402" s="60"/>
      <c r="AY402" s="113"/>
      <c r="AZ402" s="72"/>
      <c r="BA402" s="72"/>
      <c r="BB402" s="135">
        <f>+(0)+(0)+(0)+(0)</f>
        <v>0</v>
      </c>
      <c r="BC402" s="135">
        <f t="shared" si="18"/>
        <v>0</v>
      </c>
      <c r="BD402" s="50">
        <v>0</v>
      </c>
      <c r="BE402" s="50">
        <f t="shared" ref="BE402" si="681">(BA402+BB402+BC402)-BD402</f>
        <v>0</v>
      </c>
      <c r="BG402" s="139">
        <v>0</v>
      </c>
      <c r="BH402" s="139">
        <v>0</v>
      </c>
      <c r="BI402" s="139">
        <v>0</v>
      </c>
      <c r="BJ402" s="139">
        <v>0</v>
      </c>
      <c r="BK402" s="139">
        <v>0</v>
      </c>
      <c r="BL402" s="139">
        <v>0</v>
      </c>
      <c r="BM402" s="139">
        <v>0</v>
      </c>
      <c r="BN402" s="139">
        <v>0</v>
      </c>
      <c r="BO402" s="139">
        <v>0</v>
      </c>
      <c r="BP402" s="139">
        <v>0</v>
      </c>
      <c r="BQ402" s="139">
        <v>0</v>
      </c>
      <c r="BR402" s="139">
        <v>0</v>
      </c>
      <c r="BS402" s="206">
        <v>0</v>
      </c>
      <c r="BT402" s="205">
        <f>+BE402+SUM(BG402:BJ402)+SUM(BK402:BR402)-BS402</f>
        <v>0</v>
      </c>
      <c r="BU402" s="153">
        <f>SUM(AA402:AD402)+AE402+AJ402+AN402+AR402+AV402+AZ402+BD402+BS402</f>
        <v>0</v>
      </c>
    </row>
    <row r="403" spans="2:73" ht="25.8" thickBot="1" x14ac:dyDescent="0.65">
      <c r="B403" s="3" t="s">
        <v>489</v>
      </c>
      <c r="C403" s="4" t="s">
        <v>354</v>
      </c>
      <c r="D403" s="11">
        <v>45713</v>
      </c>
      <c r="E403" s="5">
        <v>0</v>
      </c>
      <c r="F403" s="5">
        <f t="shared" ref="F403" si="682">+E403*$C$1</f>
        <v>0</v>
      </c>
      <c r="G403" s="5">
        <f t="shared" ref="G403" si="683">+BU403</f>
        <v>0</v>
      </c>
      <c r="H403" s="41">
        <f t="shared" ref="H403" si="684">+F403+G403</f>
        <v>0</v>
      </c>
      <c r="I403" s="73">
        <v>15</v>
      </c>
      <c r="J403" s="112">
        <v>15</v>
      </c>
      <c r="K403" s="7"/>
      <c r="L403" s="25">
        <v>46443</v>
      </c>
      <c r="M403" s="7"/>
      <c r="N403" s="46" t="s">
        <v>302</v>
      </c>
      <c r="Z403" s="3" t="s">
        <v>489</v>
      </c>
      <c r="AA403" s="36"/>
      <c r="AB403" s="34"/>
      <c r="AC403" s="35"/>
      <c r="AD403" s="35"/>
      <c r="AE403" s="35"/>
      <c r="AF403" s="24"/>
      <c r="AG403" s="21"/>
      <c r="AH403" s="42"/>
      <c r="AI403" s="42"/>
      <c r="AJ403" s="35"/>
      <c r="AK403" s="17"/>
      <c r="AL403" s="42"/>
      <c r="AM403" s="42"/>
      <c r="AN403" s="35"/>
      <c r="AO403" s="24"/>
      <c r="AP403" s="42"/>
      <c r="AQ403" s="42"/>
      <c r="AR403" s="68"/>
      <c r="AS403" s="71"/>
      <c r="AT403" s="60"/>
      <c r="AU403" s="60"/>
      <c r="AV403" s="94"/>
      <c r="AW403" s="71"/>
      <c r="AX403" s="60"/>
      <c r="AY403" s="113"/>
      <c r="AZ403" s="72"/>
      <c r="BA403" s="72"/>
      <c r="BB403" s="135">
        <f t="shared" si="17"/>
        <v>0</v>
      </c>
      <c r="BC403" s="135">
        <f t="shared" si="18"/>
        <v>0</v>
      </c>
      <c r="BD403" s="50">
        <v>0</v>
      </c>
      <c r="BE403" s="50">
        <f t="shared" ref="BE403" si="685">(BA403+BB403+BC403)-BD403</f>
        <v>0</v>
      </c>
      <c r="BG403" s="139">
        <v>0</v>
      </c>
      <c r="BH403" s="139">
        <v>0</v>
      </c>
      <c r="BI403" s="139">
        <v>0</v>
      </c>
      <c r="BJ403" s="139">
        <v>0</v>
      </c>
      <c r="BK403" s="139">
        <v>0</v>
      </c>
      <c r="BL403" s="139">
        <v>0</v>
      </c>
      <c r="BM403" s="139">
        <v>0</v>
      </c>
      <c r="BN403" s="139">
        <v>0</v>
      </c>
      <c r="BO403" s="139">
        <v>0</v>
      </c>
      <c r="BP403" s="139">
        <v>0</v>
      </c>
      <c r="BQ403" s="139">
        <v>0</v>
      </c>
      <c r="BR403" s="139">
        <v>0</v>
      </c>
      <c r="BS403" s="206">
        <v>0</v>
      </c>
      <c r="BT403" s="205">
        <f>+BE403+SUM(BG403:BJ403)+SUM(BK403:BR403)-BS403</f>
        <v>0</v>
      </c>
      <c r="BU403" s="153">
        <f>SUM(AA403:AD403)+AE403+AJ403+AN403+AR403+AV403+AZ403+BD403+BS403</f>
        <v>0</v>
      </c>
    </row>
    <row r="404" spans="2:73" ht="25.8" thickBot="1" x14ac:dyDescent="0.65">
      <c r="B404" s="3" t="s">
        <v>372</v>
      </c>
      <c r="C404" s="4" t="s">
        <v>354</v>
      </c>
      <c r="D404" s="11">
        <v>44725</v>
      </c>
      <c r="E404" s="51">
        <v>1</v>
      </c>
      <c r="F404" s="5">
        <f t="shared" ref="F404" si="686">+E404*$C$1</f>
        <v>533.33000000000004</v>
      </c>
      <c r="G404" s="5">
        <f>+BU404</f>
        <v>516.6</v>
      </c>
      <c r="H404" s="41">
        <f t="shared" ref="H404" si="687">+F404+G404</f>
        <v>1049.93</v>
      </c>
      <c r="I404" s="73">
        <v>14</v>
      </c>
      <c r="J404" s="112">
        <v>14</v>
      </c>
      <c r="K404" s="7"/>
      <c r="L404" s="55">
        <v>46186</v>
      </c>
      <c r="M404" s="56"/>
      <c r="N404" s="46" t="s">
        <v>302</v>
      </c>
      <c r="Z404" s="3" t="s">
        <v>372</v>
      </c>
      <c r="AA404" s="34">
        <v>0</v>
      </c>
      <c r="AB404" s="34">
        <v>0</v>
      </c>
      <c r="AC404" s="35">
        <v>0</v>
      </c>
      <c r="AD404" s="35">
        <v>0</v>
      </c>
      <c r="AE404" s="35">
        <v>0</v>
      </c>
      <c r="AF404" s="24">
        <v>0</v>
      </c>
      <c r="AG404" s="21">
        <f t="shared" ref="AG404" si="688">+AF404-AE404</f>
        <v>0</v>
      </c>
      <c r="AH404" s="42">
        <v>0</v>
      </c>
      <c r="AI404" s="42">
        <v>0</v>
      </c>
      <c r="AJ404" s="35">
        <v>0</v>
      </c>
      <c r="AK404" s="17">
        <f t="shared" ref="AK404" si="689">+AG404+(AH404+AI404)-AJ404</f>
        <v>0</v>
      </c>
      <c r="AL404" s="42">
        <f>+(0)+(0)+(0)+(0)+(0)+(0)</f>
        <v>0</v>
      </c>
      <c r="AM404" s="42">
        <f>+(0)+(0)+(0)+(0)+(0)+(0)</f>
        <v>0</v>
      </c>
      <c r="AN404" s="35">
        <v>0</v>
      </c>
      <c r="AO404" s="24">
        <f t="shared" ref="AO404" si="690">+AK404+AL404+AM404-AN404</f>
        <v>0</v>
      </c>
      <c r="AP404" s="42">
        <f t="shared" si="151"/>
        <v>0</v>
      </c>
      <c r="AQ404" s="42">
        <f>+(0)+(0)+(0)+(0)+(54)+(192)</f>
        <v>246</v>
      </c>
      <c r="AR404" s="68">
        <v>120</v>
      </c>
      <c r="AS404" s="71">
        <f t="shared" ref="AS404" si="691">+AO404+AP404+AQ404-AR404</f>
        <v>126</v>
      </c>
      <c r="AT404" s="60">
        <f>+(0)+(0)+(0)+(0)+(54)+(0)</f>
        <v>54</v>
      </c>
      <c r="AU404" s="60">
        <f>+(0)+(186.6)+(0)+(0)+(0)+(0)</f>
        <v>186.6</v>
      </c>
      <c r="AV404" s="94">
        <v>120</v>
      </c>
      <c r="AW404" s="71">
        <f t="shared" ref="AW404" si="692">+AS404+AT404+AU404-AV404</f>
        <v>246.60000000000002</v>
      </c>
      <c r="AX404" s="60">
        <f t="shared" si="148"/>
        <v>0</v>
      </c>
      <c r="AY404" s="113">
        <f>+(0)+(0)+(0)+(0)+(0)+(0)+(0)+(30)</f>
        <v>30</v>
      </c>
      <c r="AZ404" s="71">
        <v>120</v>
      </c>
      <c r="BA404" s="71">
        <f>(+AW404+AX404+AY404)-AZ404</f>
        <v>156.60000000000002</v>
      </c>
      <c r="BB404" s="135">
        <f t="shared" si="106"/>
        <v>0</v>
      </c>
      <c r="BC404" s="135">
        <f t="shared" si="116"/>
        <v>0</v>
      </c>
      <c r="BD404" s="50">
        <v>120</v>
      </c>
      <c r="BE404" s="50">
        <f>(BA404+BB404+BC404)-BD404</f>
        <v>36.600000000000023</v>
      </c>
      <c r="BG404" s="139">
        <v>0</v>
      </c>
      <c r="BH404" s="139">
        <v>0</v>
      </c>
      <c r="BI404" s="139">
        <v>0</v>
      </c>
      <c r="BJ404" s="139">
        <v>0</v>
      </c>
      <c r="BK404" s="139">
        <v>0</v>
      </c>
      <c r="BL404" s="139">
        <v>0</v>
      </c>
      <c r="BM404" s="139">
        <v>0</v>
      </c>
      <c r="BN404" s="139">
        <v>0</v>
      </c>
      <c r="BO404" s="139">
        <v>0</v>
      </c>
      <c r="BP404" s="139">
        <v>0</v>
      </c>
      <c r="BQ404" s="139">
        <v>0</v>
      </c>
      <c r="BR404" s="139">
        <v>0</v>
      </c>
      <c r="BS404" s="206">
        <v>36.6</v>
      </c>
      <c r="BT404" s="205">
        <f>+BE404+SUM(BG404:BJ404)+SUM(BK404:BR404)-BS404</f>
        <v>0</v>
      </c>
      <c r="BU404" s="153">
        <f>SUM(AA404:AD404)+AE404+AJ404+AN404+AR404+AV404+AZ404+BD404+BS404</f>
        <v>516.6</v>
      </c>
    </row>
  </sheetData>
  <autoFilter ref="B8:I213" xr:uid="{00000000-0001-0000-0000-000000000000}"/>
  <mergeCells count="6">
    <mergeCell ref="BG6:BJ6"/>
    <mergeCell ref="BK6:BR6"/>
    <mergeCell ref="BG7:BJ7"/>
    <mergeCell ref="BK7:BR7"/>
    <mergeCell ref="BG8:BJ8"/>
    <mergeCell ref="BK8:BR8"/>
  </mergeCells>
  <pageMargins left="0.51181102362204722" right="0.51181102362204722" top="0.74803149606299213" bottom="0.74803149606299213" header="0.31496062992125984" footer="0.31496062992125984"/>
  <pageSetup scale="53" fitToWidth="0" fitToHeight="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BIENIOS EDUARDO FREI M.</vt:lpstr>
      <vt:lpstr>'BIENIOS EDUARDO FREI M.'!Área_de_impresión</vt:lpstr>
      <vt:lpstr>'BIENIOS EDUARDO FREI M.'!Títulos_a_imprimir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</dc:creator>
  <cp:lastModifiedBy>Usuario de Windows</cp:lastModifiedBy>
  <cp:lastPrinted>2020-05-12T16:46:57Z</cp:lastPrinted>
  <dcterms:created xsi:type="dcterms:W3CDTF">2016-06-21T14:36:36Z</dcterms:created>
  <dcterms:modified xsi:type="dcterms:W3CDTF">2025-11-26T12:40:45Z</dcterms:modified>
</cp:coreProperties>
</file>