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ESTION SALUD LA CISTERNA\BIENIOS\WEB\"/>
    </mc:Choice>
  </mc:AlternateContent>
  <xr:revisionPtr revIDLastSave="0" documentId="8_{91E46C07-27A0-47EA-B76F-760446B80890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BIENIOS DEPARTAMENTO DE SALUD" sheetId="6" r:id="rId1"/>
  </sheets>
  <definedNames>
    <definedName name="_xlnm._FilterDatabase" localSheetId="0" hidden="1">'BIENIOS DEPARTAMENTO DE SALUD'!$B$8:$I$98</definedName>
    <definedName name="_xlnm.Print_Area" localSheetId="0">'BIENIOS DEPARTAMENTO DE SALUD'!$B$6:$N$128</definedName>
  </definedNames>
  <calcPr calcId="191029"/>
</workbook>
</file>

<file path=xl/calcChain.xml><?xml version="1.0" encoding="utf-8"?>
<calcChain xmlns="http://schemas.openxmlformats.org/spreadsheetml/2006/main">
  <c r="AZ69" i="6" l="1"/>
  <c r="AZ100" i="6"/>
  <c r="AZ96" i="6"/>
  <c r="AZ93" i="6"/>
  <c r="AZ91" i="6"/>
  <c r="AZ89" i="6"/>
  <c r="AZ78" i="6"/>
  <c r="AZ77" i="6"/>
  <c r="AZ71" i="6"/>
  <c r="AZ68" i="6"/>
  <c r="AZ59" i="6"/>
  <c r="AZ56" i="6"/>
  <c r="AZ45" i="6"/>
  <c r="AZ43" i="6"/>
  <c r="AZ38" i="6"/>
  <c r="AZ32" i="6"/>
  <c r="AZ19" i="6"/>
  <c r="AZ9" i="6"/>
  <c r="BC73" i="6"/>
  <c r="G73" i="6" s="1"/>
  <c r="AZ73" i="6"/>
  <c r="AY73" i="6"/>
  <c r="BB73" i="6" s="1"/>
  <c r="F73" i="6"/>
  <c r="BC25" i="6"/>
  <c r="G25" i="6" s="1"/>
  <c r="AZ25" i="6"/>
  <c r="AY25" i="6"/>
  <c r="BB25" i="6" s="1"/>
  <c r="F25" i="6"/>
  <c r="H73" i="6" l="1"/>
  <c r="H25" i="6"/>
  <c r="BC10" i="6" l="1"/>
  <c r="G10" i="6" s="1"/>
  <c r="AZ10" i="6"/>
  <c r="AY10" i="6"/>
  <c r="F10" i="6"/>
  <c r="AY67" i="6"/>
  <c r="BC67" i="6"/>
  <c r="G67" i="6" s="1"/>
  <c r="AZ67" i="6"/>
  <c r="F67" i="6"/>
  <c r="BC51" i="6"/>
  <c r="G51" i="6" s="1"/>
  <c r="AZ51" i="6"/>
  <c r="AY51" i="6"/>
  <c r="BB51" i="6" s="1"/>
  <c r="F51" i="6"/>
  <c r="BC15" i="6"/>
  <c r="G15" i="6" s="1"/>
  <c r="AZ15" i="6"/>
  <c r="AY15" i="6"/>
  <c r="AV15" i="6"/>
  <c r="AU15" i="6"/>
  <c r="AR15" i="6"/>
  <c r="AQ15" i="6"/>
  <c r="AN15" i="6"/>
  <c r="AM15" i="6"/>
  <c r="AJ15" i="6"/>
  <c r="AI15" i="6"/>
  <c r="AD15" i="6"/>
  <c r="AH15" i="6" s="1"/>
  <c r="F15" i="6"/>
  <c r="BB10" i="6" l="1"/>
  <c r="H10" i="6"/>
  <c r="AL15" i="6"/>
  <c r="AP15" i="6" s="1"/>
  <c r="AT15" i="6" s="1"/>
  <c r="AX15" i="6" s="1"/>
  <c r="BB15" i="6" s="1"/>
  <c r="BB67" i="6"/>
  <c r="H15" i="6"/>
  <c r="H67" i="6"/>
  <c r="H51" i="6"/>
  <c r="AZ75" i="6"/>
  <c r="BC45" i="6"/>
  <c r="G45" i="6" s="1"/>
  <c r="AY45" i="6"/>
  <c r="F45" i="6"/>
  <c r="AZ83" i="6"/>
  <c r="AZ55" i="6"/>
  <c r="H45" i="6" l="1"/>
  <c r="BB45" i="6"/>
  <c r="BC99" i="6"/>
  <c r="G99" i="6" s="1"/>
  <c r="AZ99" i="6"/>
  <c r="AY99" i="6"/>
  <c r="AV99" i="6"/>
  <c r="AU99" i="6"/>
  <c r="AR99" i="6"/>
  <c r="AQ99" i="6"/>
  <c r="AD99" i="6"/>
  <c r="AH99" i="6" s="1"/>
  <c r="AL99" i="6" s="1"/>
  <c r="AP99" i="6" s="1"/>
  <c r="F99" i="6"/>
  <c r="AT99" i="6" l="1"/>
  <c r="AX99" i="6" s="1"/>
  <c r="BB99" i="6" s="1"/>
  <c r="H99" i="6"/>
  <c r="AZ34" i="6" l="1"/>
  <c r="AZ28" i="6"/>
  <c r="AZ21" i="6"/>
  <c r="BC86" i="6" l="1"/>
  <c r="G86" i="6" s="1"/>
  <c r="AZ86" i="6"/>
  <c r="AY86" i="6"/>
  <c r="F86" i="6"/>
  <c r="BB86" i="6" l="1"/>
  <c r="H86" i="6"/>
  <c r="BC153" i="6"/>
  <c r="G153" i="6" s="1"/>
  <c r="AZ153" i="6"/>
  <c r="AY153" i="6"/>
  <c r="BB153" i="6" s="1"/>
  <c r="F153" i="6"/>
  <c r="BC70" i="6"/>
  <c r="G70" i="6" s="1"/>
  <c r="AZ70" i="6"/>
  <c r="AY70" i="6"/>
  <c r="AV70" i="6"/>
  <c r="AU70" i="6"/>
  <c r="AR70" i="6"/>
  <c r="AQ70" i="6"/>
  <c r="AN70" i="6"/>
  <c r="AM70" i="6"/>
  <c r="AJ70" i="6"/>
  <c r="AI70" i="6"/>
  <c r="AF70" i="6"/>
  <c r="AE70" i="6"/>
  <c r="F70" i="6"/>
  <c r="AH70" i="6" l="1"/>
  <c r="AL70" i="6" s="1"/>
  <c r="AP70" i="6" s="1"/>
  <c r="AT70" i="6" s="1"/>
  <c r="AX70" i="6" s="1"/>
  <c r="BB70" i="6" s="1"/>
  <c r="H153" i="6"/>
  <c r="H70" i="6"/>
  <c r="BC65" i="6" l="1"/>
  <c r="G65" i="6" s="1"/>
  <c r="AZ65" i="6"/>
  <c r="AY65" i="6"/>
  <c r="F65" i="6"/>
  <c r="BC47" i="6"/>
  <c r="G47" i="6" s="1"/>
  <c r="AZ47" i="6"/>
  <c r="AY47" i="6"/>
  <c r="F47" i="6"/>
  <c r="BC27" i="6"/>
  <c r="G27" i="6" s="1"/>
  <c r="AZ27" i="6"/>
  <c r="AY27" i="6"/>
  <c r="F27" i="6"/>
  <c r="BC152" i="6"/>
  <c r="G152" i="6" s="1"/>
  <c r="AZ152" i="6"/>
  <c r="AY152" i="6"/>
  <c r="F152" i="6"/>
  <c r="AZ102" i="6"/>
  <c r="AZ98" i="6"/>
  <c r="AZ95" i="6"/>
  <c r="AZ154" i="6"/>
  <c r="AZ82" i="6"/>
  <c r="AZ63" i="6"/>
  <c r="AZ60" i="6"/>
  <c r="AZ52" i="6"/>
  <c r="AZ33" i="6"/>
  <c r="AZ24" i="6"/>
  <c r="AZ18" i="6"/>
  <c r="AZ17" i="6"/>
  <c r="BB65" i="6" l="1"/>
  <c r="H65" i="6"/>
  <c r="H47" i="6"/>
  <c r="BB47" i="6"/>
  <c r="BB152" i="6"/>
  <c r="H152" i="6"/>
  <c r="BB27" i="6"/>
  <c r="H27" i="6"/>
  <c r="AZ16" i="6"/>
  <c r="AZ13" i="6"/>
  <c r="AZ11" i="6"/>
  <c r="BC85" i="6" l="1"/>
  <c r="G85" i="6" s="1"/>
  <c r="AZ85" i="6"/>
  <c r="AY85" i="6"/>
  <c r="F85" i="6"/>
  <c r="BC84" i="6"/>
  <c r="G84" i="6" s="1"/>
  <c r="AZ84" i="6"/>
  <c r="AY84" i="6"/>
  <c r="AV84" i="6"/>
  <c r="AU84" i="6"/>
  <c r="AR84" i="6"/>
  <c r="AQ84" i="6"/>
  <c r="AN84" i="6"/>
  <c r="AM84" i="6"/>
  <c r="AJ84" i="6"/>
  <c r="AI84" i="6"/>
  <c r="AF84" i="6"/>
  <c r="AE84" i="6"/>
  <c r="AD84" i="6"/>
  <c r="F84" i="6"/>
  <c r="BC69" i="6"/>
  <c r="G69" i="6" s="1"/>
  <c r="AY69" i="6"/>
  <c r="AV69" i="6"/>
  <c r="AU69" i="6"/>
  <c r="AR69" i="6"/>
  <c r="AQ69" i="6"/>
  <c r="AN69" i="6"/>
  <c r="AM69" i="6"/>
  <c r="AD69" i="6"/>
  <c r="AH69" i="6" s="1"/>
  <c r="AL69" i="6" s="1"/>
  <c r="F69" i="6"/>
  <c r="BC50" i="6"/>
  <c r="G50" i="6" s="1"/>
  <c r="AZ50" i="6"/>
  <c r="AY50" i="6"/>
  <c r="F50" i="6"/>
  <c r="BC44" i="6"/>
  <c r="G44" i="6" s="1"/>
  <c r="AZ44" i="6"/>
  <c r="AY44" i="6"/>
  <c r="F44" i="6"/>
  <c r="BC42" i="6"/>
  <c r="G42" i="6" s="1"/>
  <c r="AZ42" i="6"/>
  <c r="AY42" i="6"/>
  <c r="F42" i="6"/>
  <c r="BC12" i="6"/>
  <c r="G12" i="6" s="1"/>
  <c r="AZ12" i="6"/>
  <c r="AY12" i="6"/>
  <c r="F12" i="6"/>
  <c r="BB85" i="6" l="1"/>
  <c r="H85" i="6"/>
  <c r="AH84" i="6"/>
  <c r="AL84" i="6" s="1"/>
  <c r="AP84" i="6" s="1"/>
  <c r="AT84" i="6" s="1"/>
  <c r="AX84" i="6" s="1"/>
  <c r="BB84" i="6" s="1"/>
  <c r="H84" i="6"/>
  <c r="BB42" i="6"/>
  <c r="H69" i="6"/>
  <c r="AP69" i="6"/>
  <c r="AT69" i="6" s="1"/>
  <c r="AX69" i="6" s="1"/>
  <c r="BB69" i="6" s="1"/>
  <c r="BB50" i="6"/>
  <c r="BB44" i="6"/>
  <c r="H50" i="6"/>
  <c r="H44" i="6"/>
  <c r="H42" i="6"/>
  <c r="BB12" i="6"/>
  <c r="H12" i="6"/>
  <c r="AZ88" i="6" l="1"/>
  <c r="AZ76" i="6"/>
  <c r="AZ61" i="6"/>
  <c r="AZ26" i="6"/>
  <c r="AZ64" i="6" l="1"/>
  <c r="AZ58" i="6"/>
  <c r="AZ54" i="6"/>
  <c r="AZ53" i="6"/>
  <c r="AZ30" i="6"/>
  <c r="BC102" i="6" l="1"/>
  <c r="G102" i="6" s="1"/>
  <c r="AY102" i="6"/>
  <c r="F102" i="6"/>
  <c r="BC43" i="6"/>
  <c r="G43" i="6" s="1"/>
  <c r="AY43" i="6"/>
  <c r="BB43" i="6" s="1"/>
  <c r="F43" i="6"/>
  <c r="H102" i="6" l="1"/>
  <c r="H43" i="6"/>
  <c r="BB102" i="6"/>
  <c r="AY100" i="6"/>
  <c r="AY98" i="6"/>
  <c r="AY95" i="6"/>
  <c r="AY93" i="6"/>
  <c r="AY92" i="6"/>
  <c r="AY89" i="6"/>
  <c r="AY81" i="6"/>
  <c r="AY74" i="6"/>
  <c r="AY78" i="6"/>
  <c r="AY71" i="6"/>
  <c r="AY66" i="6"/>
  <c r="AY63" i="6"/>
  <c r="AY59" i="6"/>
  <c r="AY58" i="6"/>
  <c r="AY56" i="6"/>
  <c r="AY54" i="6"/>
  <c r="AY53" i="6"/>
  <c r="AY52" i="6"/>
  <c r="AY149" i="6"/>
  <c r="AY36" i="6"/>
  <c r="AY32" i="6"/>
  <c r="AY30" i="6"/>
  <c r="AY28" i="6"/>
  <c r="AY26" i="6"/>
  <c r="AY18" i="6"/>
  <c r="AY16" i="6"/>
  <c r="AY14" i="6"/>
  <c r="AY13" i="6"/>
  <c r="AY11" i="6"/>
  <c r="AY9" i="6"/>
  <c r="AY91" i="6"/>
  <c r="AY41" i="6"/>
  <c r="AY76" i="6"/>
  <c r="AY68" i="6"/>
  <c r="AY155" i="6"/>
  <c r="AY39" i="6"/>
  <c r="AY38" i="6"/>
  <c r="AY35" i="6"/>
  <c r="AY21" i="6"/>
  <c r="BC83" i="6" l="1"/>
  <c r="G83" i="6" s="1"/>
  <c r="AY83" i="6"/>
  <c r="BB83" i="6" s="1"/>
  <c r="F83" i="6"/>
  <c r="BC62" i="6"/>
  <c r="G62" i="6" s="1"/>
  <c r="AZ62" i="6"/>
  <c r="AY62" i="6"/>
  <c r="F62" i="6"/>
  <c r="H62" i="6" l="1"/>
  <c r="H83" i="6"/>
  <c r="BB62" i="6"/>
  <c r="BC75" i="6"/>
  <c r="G75" i="6" s="1"/>
  <c r="AY75" i="6"/>
  <c r="F75" i="6"/>
  <c r="BC95" i="6"/>
  <c r="G95" i="6" s="1"/>
  <c r="F95" i="6"/>
  <c r="AU59" i="6"/>
  <c r="BC103" i="6"/>
  <c r="BC101" i="6"/>
  <c r="BC100" i="6"/>
  <c r="BC151" i="6"/>
  <c r="BC98" i="6"/>
  <c r="BC97" i="6"/>
  <c r="BC96" i="6"/>
  <c r="BC94" i="6"/>
  <c r="BC93" i="6"/>
  <c r="BC92" i="6"/>
  <c r="BC91" i="6"/>
  <c r="BC90" i="6"/>
  <c r="BC154" i="6"/>
  <c r="BC89" i="6"/>
  <c r="BC88" i="6"/>
  <c r="BC87" i="6"/>
  <c r="BC82" i="6"/>
  <c r="BC81" i="6"/>
  <c r="BC80" i="6"/>
  <c r="BC79" i="6"/>
  <c r="BC78" i="6"/>
  <c r="BC77" i="6"/>
  <c r="BC76" i="6"/>
  <c r="BC74" i="6"/>
  <c r="BC72" i="6"/>
  <c r="BC71" i="6"/>
  <c r="BC68" i="6"/>
  <c r="BC66" i="6"/>
  <c r="BC64" i="6"/>
  <c r="BC63" i="6"/>
  <c r="BC61" i="6"/>
  <c r="BC60" i="6"/>
  <c r="BC59" i="6"/>
  <c r="BC58" i="6"/>
  <c r="BC57" i="6"/>
  <c r="BC56" i="6"/>
  <c r="BC55" i="6"/>
  <c r="BC54" i="6"/>
  <c r="BC53" i="6"/>
  <c r="BC52" i="6"/>
  <c r="BC150" i="6"/>
  <c r="BC49" i="6"/>
  <c r="BC48" i="6"/>
  <c r="BC46" i="6"/>
  <c r="BC149" i="6"/>
  <c r="BC41" i="6"/>
  <c r="BC155" i="6"/>
  <c r="BC40" i="6"/>
  <c r="BC39" i="6"/>
  <c r="BC38" i="6"/>
  <c r="BC37" i="6"/>
  <c r="BC36" i="6"/>
  <c r="BC35" i="6"/>
  <c r="BC34" i="6"/>
  <c r="BC33" i="6"/>
  <c r="BC32" i="6"/>
  <c r="BC31" i="6"/>
  <c r="BC30" i="6"/>
  <c r="BC148" i="6"/>
  <c r="BC29" i="6"/>
  <c r="BC28" i="6"/>
  <c r="BC26" i="6"/>
  <c r="BC24" i="6"/>
  <c r="BC23" i="6"/>
  <c r="BC22" i="6"/>
  <c r="BC21" i="6"/>
  <c r="BC20" i="6"/>
  <c r="BC19" i="6"/>
  <c r="BC18" i="6"/>
  <c r="BC17" i="6"/>
  <c r="BC147" i="6"/>
  <c r="BC16" i="6"/>
  <c r="BC14" i="6"/>
  <c r="BC13" i="6"/>
  <c r="BC11" i="6"/>
  <c r="AY87" i="6"/>
  <c r="BB75" i="6" l="1"/>
  <c r="BB95" i="6"/>
  <c r="H75" i="6"/>
  <c r="H95" i="6"/>
  <c r="BC9" i="6"/>
  <c r="AZ103" i="6"/>
  <c r="AY103" i="6"/>
  <c r="AZ101" i="6"/>
  <c r="AY101" i="6"/>
  <c r="AZ151" i="6"/>
  <c r="AY151" i="6"/>
  <c r="AZ97" i="6"/>
  <c r="AY97" i="6"/>
  <c r="AY96" i="6"/>
  <c r="AZ94" i="6"/>
  <c r="AY94" i="6"/>
  <c r="AZ92" i="6"/>
  <c r="AZ90" i="6"/>
  <c r="AY90" i="6"/>
  <c r="AY154" i="6"/>
  <c r="AY88" i="6"/>
  <c r="AZ87" i="6"/>
  <c r="AY82" i="6"/>
  <c r="AZ81" i="6"/>
  <c r="AZ80" i="6"/>
  <c r="AY80" i="6"/>
  <c r="AZ79" i="6"/>
  <c r="AY79" i="6"/>
  <c r="AY77" i="6"/>
  <c r="AZ74" i="6"/>
  <c r="AZ72" i="6"/>
  <c r="AY72" i="6"/>
  <c r="AZ66" i="6"/>
  <c r="AY64" i="6"/>
  <c r="AY61" i="6"/>
  <c r="AY60" i="6"/>
  <c r="AZ57" i="6"/>
  <c r="AY57" i="6"/>
  <c r="AY55" i="6"/>
  <c r="AZ150" i="6"/>
  <c r="AY150" i="6"/>
  <c r="AZ49" i="6"/>
  <c r="AY49" i="6"/>
  <c r="AZ48" i="6"/>
  <c r="AY48" i="6"/>
  <c r="AZ46" i="6"/>
  <c r="AY46" i="6"/>
  <c r="AZ149" i="6"/>
  <c r="AZ41" i="6"/>
  <c r="AZ155" i="6"/>
  <c r="AZ40" i="6"/>
  <c r="AY40" i="6"/>
  <c r="AZ39" i="6"/>
  <c r="AZ37" i="6"/>
  <c r="AY37" i="6"/>
  <c r="AZ36" i="6"/>
  <c r="AZ35" i="6"/>
  <c r="AY34" i="6"/>
  <c r="AY33" i="6"/>
  <c r="AZ31" i="6"/>
  <c r="AY31" i="6"/>
  <c r="AZ148" i="6"/>
  <c r="AY148" i="6"/>
  <c r="AZ29" i="6"/>
  <c r="AY29" i="6"/>
  <c r="AY24" i="6"/>
  <c r="AZ23" i="6"/>
  <c r="AY23" i="6"/>
  <c r="AZ22" i="6"/>
  <c r="AY22" i="6"/>
  <c r="AZ20" i="6"/>
  <c r="AY20" i="6"/>
  <c r="AY19" i="6"/>
  <c r="AY17" i="6"/>
  <c r="AZ147" i="6"/>
  <c r="AY147" i="6"/>
  <c r="AZ14" i="6"/>
  <c r="AV80" i="6"/>
  <c r="AV103" i="6"/>
  <c r="AV100" i="6"/>
  <c r="AV97" i="6"/>
  <c r="AV96" i="6"/>
  <c r="AV92" i="6"/>
  <c r="AV81" i="6"/>
  <c r="AV78" i="6"/>
  <c r="AV77" i="6"/>
  <c r="AV68" i="6"/>
  <c r="AV66" i="6"/>
  <c r="AV57" i="6"/>
  <c r="AV54" i="6"/>
  <c r="AV53" i="6"/>
  <c r="AV52" i="6"/>
  <c r="AV49" i="6"/>
  <c r="AV39" i="6"/>
  <c r="AV38" i="6"/>
  <c r="AV24" i="6"/>
  <c r="AV19" i="6"/>
  <c r="AV18" i="6"/>
  <c r="AV14" i="6"/>
  <c r="AV9" i="6"/>
  <c r="G94" i="6"/>
  <c r="AV94" i="6"/>
  <c r="AU94" i="6"/>
  <c r="F94" i="6"/>
  <c r="G52" i="6"/>
  <c r="AV150" i="6"/>
  <c r="AU150" i="6"/>
  <c r="AU52" i="6"/>
  <c r="F52" i="6"/>
  <c r="G80" i="6"/>
  <c r="AU80" i="6"/>
  <c r="AD80" i="6"/>
  <c r="AH80" i="6" s="1"/>
  <c r="AL80" i="6" s="1"/>
  <c r="AP80" i="6" s="1"/>
  <c r="AT80" i="6" s="1"/>
  <c r="F80" i="6"/>
  <c r="AX94" i="6" l="1"/>
  <c r="BB94" i="6" s="1"/>
  <c r="AX150" i="6"/>
  <c r="BB150" i="6" s="1"/>
  <c r="AX52" i="6"/>
  <c r="BB52" i="6" s="1"/>
  <c r="AX80" i="6"/>
  <c r="BB80" i="6" s="1"/>
  <c r="H94" i="6"/>
  <c r="H52" i="6"/>
  <c r="H80" i="6"/>
  <c r="AV71" i="6" l="1"/>
  <c r="AV98" i="6"/>
  <c r="AV87" i="6"/>
  <c r="AV79" i="6"/>
  <c r="AU78" i="6"/>
  <c r="AX78" i="6" s="1"/>
  <c r="BB78" i="6" s="1"/>
  <c r="AV41" i="6"/>
  <c r="AV28" i="6"/>
  <c r="AV26" i="6"/>
  <c r="AV16" i="6"/>
  <c r="AV13" i="6"/>
  <c r="G78" i="6" l="1"/>
  <c r="G150" i="6"/>
  <c r="F150" i="6"/>
  <c r="AV32" i="6"/>
  <c r="F78" i="6"/>
  <c r="AV91" i="6"/>
  <c r="AV56" i="6"/>
  <c r="AV55" i="6"/>
  <c r="AV17" i="6"/>
  <c r="H78" i="6" l="1"/>
  <c r="H150" i="6"/>
  <c r="BC145" i="6"/>
  <c r="G145" i="6" s="1"/>
  <c r="AV145" i="6"/>
  <c r="AU145" i="6"/>
  <c r="AD145" i="6"/>
  <c r="AH145" i="6" s="1"/>
  <c r="AL145" i="6" s="1"/>
  <c r="AP145" i="6" s="1"/>
  <c r="AT145" i="6" s="1"/>
  <c r="F145" i="6"/>
  <c r="BC142" i="6"/>
  <c r="G142" i="6" s="1"/>
  <c r="AV142" i="6"/>
  <c r="AU142" i="6"/>
  <c r="AD142" i="6"/>
  <c r="AH142" i="6" s="1"/>
  <c r="AL142" i="6" s="1"/>
  <c r="AP142" i="6" s="1"/>
  <c r="AT142" i="6" s="1"/>
  <c r="F142" i="6"/>
  <c r="G22" i="6"/>
  <c r="AV22" i="6"/>
  <c r="AU22" i="6"/>
  <c r="AD22" i="6"/>
  <c r="AH22" i="6" s="1"/>
  <c r="AL22" i="6" s="1"/>
  <c r="AP22" i="6" s="1"/>
  <c r="AT22" i="6" s="1"/>
  <c r="F22" i="6"/>
  <c r="AV93" i="6"/>
  <c r="AV82" i="6"/>
  <c r="AX145" i="6" l="1"/>
  <c r="H145" i="6"/>
  <c r="AX142" i="6"/>
  <c r="H142" i="6"/>
  <c r="AX22" i="6"/>
  <c r="BB22" i="6" s="1"/>
  <c r="H22" i="6"/>
  <c r="AV147" i="6"/>
  <c r="AV101" i="6"/>
  <c r="AV63" i="6"/>
  <c r="AV60" i="6"/>
  <c r="AV59" i="6"/>
  <c r="AV58" i="6"/>
  <c r="AV37" i="6"/>
  <c r="AV144" i="6"/>
  <c r="AV36" i="6"/>
  <c r="AV35" i="6"/>
  <c r="AV31" i="6"/>
  <c r="AV21" i="6"/>
  <c r="AV20" i="6"/>
  <c r="AV146" i="6"/>
  <c r="AV11" i="6"/>
  <c r="BC143" i="6"/>
  <c r="G143" i="6" s="1"/>
  <c r="AV143" i="6"/>
  <c r="AU143" i="6"/>
  <c r="AD143" i="6"/>
  <c r="AH143" i="6" s="1"/>
  <c r="AL143" i="6" s="1"/>
  <c r="AP143" i="6" s="1"/>
  <c r="AT143" i="6" s="1"/>
  <c r="F143" i="6"/>
  <c r="G89" i="6"/>
  <c r="AV89" i="6"/>
  <c r="AU89" i="6"/>
  <c r="AD89" i="6"/>
  <c r="AH89" i="6" s="1"/>
  <c r="AL89" i="6" s="1"/>
  <c r="AP89" i="6" s="1"/>
  <c r="AT89" i="6" s="1"/>
  <c r="F89" i="6"/>
  <c r="BC140" i="6"/>
  <c r="G140" i="6" s="1"/>
  <c r="AV140" i="6"/>
  <c r="AU140" i="6"/>
  <c r="AD140" i="6"/>
  <c r="AH140" i="6" s="1"/>
  <c r="AL140" i="6" s="1"/>
  <c r="AP140" i="6" s="1"/>
  <c r="AT140" i="6" s="1"/>
  <c r="F140" i="6"/>
  <c r="AX140" i="6" l="1"/>
  <c r="AX89" i="6"/>
  <c r="BB89" i="6" s="1"/>
  <c r="H143" i="6"/>
  <c r="H140" i="6"/>
  <c r="AX143" i="6"/>
  <c r="H89" i="6"/>
  <c r="BC141" i="6"/>
  <c r="G141" i="6" s="1"/>
  <c r="AV141" i="6"/>
  <c r="AU141" i="6"/>
  <c r="AH141" i="6"/>
  <c r="AL141" i="6" s="1"/>
  <c r="AP141" i="6" s="1"/>
  <c r="AT141" i="6" s="1"/>
  <c r="F141" i="6"/>
  <c r="AX141" i="6" l="1"/>
  <c r="H141" i="6"/>
  <c r="AV64" i="6"/>
  <c r="G97" i="6" l="1"/>
  <c r="AU97" i="6"/>
  <c r="AD97" i="6"/>
  <c r="AH97" i="6" s="1"/>
  <c r="AL97" i="6" s="1"/>
  <c r="AP97" i="6" s="1"/>
  <c r="AT97" i="6" s="1"/>
  <c r="F97" i="6"/>
  <c r="AX97" i="6" l="1"/>
  <c r="BB97" i="6" s="1"/>
  <c r="H97" i="6"/>
  <c r="G56" i="6" l="1"/>
  <c r="AU56" i="6"/>
  <c r="AR56" i="6"/>
  <c r="AQ56" i="6"/>
  <c r="AD56" i="6"/>
  <c r="AH56" i="6" s="1"/>
  <c r="AL56" i="6" s="1"/>
  <c r="AP56" i="6" s="1"/>
  <c r="AT56" i="6" s="1"/>
  <c r="F56" i="6"/>
  <c r="G24" i="6"/>
  <c r="AU24" i="6"/>
  <c r="AR24" i="6"/>
  <c r="AQ24" i="6"/>
  <c r="AD24" i="6"/>
  <c r="AH24" i="6" s="1"/>
  <c r="AL24" i="6" s="1"/>
  <c r="AP24" i="6" s="1"/>
  <c r="F24" i="6"/>
  <c r="AX56" i="6" l="1"/>
  <c r="BB56" i="6" s="1"/>
  <c r="AT24" i="6"/>
  <c r="AX24" i="6" s="1"/>
  <c r="BB24" i="6" s="1"/>
  <c r="H56" i="6"/>
  <c r="H24" i="6"/>
  <c r="AU103" i="6"/>
  <c r="AU101" i="6"/>
  <c r="AU93" i="6"/>
  <c r="AU92" i="6"/>
  <c r="AU90" i="6"/>
  <c r="AU82" i="6"/>
  <c r="AU81" i="6"/>
  <c r="AU79" i="6"/>
  <c r="AU74" i="6"/>
  <c r="AU77" i="6"/>
  <c r="AU76" i="6"/>
  <c r="AU68" i="6"/>
  <c r="AU64" i="6"/>
  <c r="AU63" i="6"/>
  <c r="AU58" i="6"/>
  <c r="AU55" i="6"/>
  <c r="AU54" i="6"/>
  <c r="AU49" i="6"/>
  <c r="AU149" i="6"/>
  <c r="AU155" i="6"/>
  <c r="AU38" i="6"/>
  <c r="AU37" i="6"/>
  <c r="AU144" i="6"/>
  <c r="AU35" i="6"/>
  <c r="AU29" i="6"/>
  <c r="AU28" i="6"/>
  <c r="AU21" i="6"/>
  <c r="AU19" i="6"/>
  <c r="AU147" i="6"/>
  <c r="AU16" i="6"/>
  <c r="AU14" i="6"/>
  <c r="AU13" i="6"/>
  <c r="AU146" i="6"/>
  <c r="AU11" i="6"/>
  <c r="AU9" i="6"/>
  <c r="G26" i="6"/>
  <c r="AU26" i="6"/>
  <c r="AD26" i="6"/>
  <c r="AH26" i="6" s="1"/>
  <c r="AL26" i="6" s="1"/>
  <c r="AP26" i="6" s="1"/>
  <c r="AT26" i="6" s="1"/>
  <c r="F26" i="6"/>
  <c r="G100" i="6"/>
  <c r="AU100" i="6"/>
  <c r="AD100" i="6"/>
  <c r="AH100" i="6" s="1"/>
  <c r="AL100" i="6" s="1"/>
  <c r="AP100" i="6" s="1"/>
  <c r="AT100" i="6" s="1"/>
  <c r="F100" i="6"/>
  <c r="G96" i="6"/>
  <c r="AU96" i="6"/>
  <c r="AD96" i="6"/>
  <c r="AH96" i="6" s="1"/>
  <c r="AL96" i="6" s="1"/>
  <c r="AP96" i="6" s="1"/>
  <c r="AT96" i="6" s="1"/>
  <c r="F96" i="6"/>
  <c r="G154" i="6"/>
  <c r="AV154" i="6"/>
  <c r="AU154" i="6"/>
  <c r="AD154" i="6"/>
  <c r="AH154" i="6" s="1"/>
  <c r="AL154" i="6" s="1"/>
  <c r="AP154" i="6" s="1"/>
  <c r="AT154" i="6" s="1"/>
  <c r="F154" i="6"/>
  <c r="H26" i="6" l="1"/>
  <c r="AX100" i="6"/>
  <c r="BB100" i="6" s="1"/>
  <c r="AX26" i="6"/>
  <c r="BB26" i="6" s="1"/>
  <c r="AX96" i="6"/>
  <c r="BB96" i="6" s="1"/>
  <c r="AX154" i="6"/>
  <c r="BB154" i="6" s="1"/>
  <c r="H100" i="6"/>
  <c r="H96" i="6"/>
  <c r="H154" i="6"/>
  <c r="AU53" i="6" l="1"/>
  <c r="AU32" i="6"/>
  <c r="AU71" i="6" l="1"/>
  <c r="AU40" i="6"/>
  <c r="G151" i="6" l="1"/>
  <c r="AV151" i="6"/>
  <c r="AU151" i="6"/>
  <c r="AD151" i="6"/>
  <c r="AH151" i="6" s="1"/>
  <c r="AL151" i="6" s="1"/>
  <c r="AP151" i="6" s="1"/>
  <c r="AT151" i="6" s="1"/>
  <c r="F151" i="6"/>
  <c r="AX151" i="6" l="1"/>
  <c r="BB151" i="6" s="1"/>
  <c r="H151" i="6"/>
  <c r="BC137" i="6"/>
  <c r="G137" i="6" s="1"/>
  <c r="AV137" i="6"/>
  <c r="AU137" i="6"/>
  <c r="AD137" i="6"/>
  <c r="AH137" i="6" s="1"/>
  <c r="AL137" i="6" s="1"/>
  <c r="AP137" i="6" s="1"/>
  <c r="AT137" i="6" s="1"/>
  <c r="F137" i="6"/>
  <c r="AX137" i="6" l="1"/>
  <c r="H137" i="6"/>
  <c r="G23" i="6" l="1"/>
  <c r="AV23" i="6"/>
  <c r="AU23" i="6"/>
  <c r="AD23" i="6"/>
  <c r="AH23" i="6" s="1"/>
  <c r="AL23" i="6" s="1"/>
  <c r="AP23" i="6" s="1"/>
  <c r="AT23" i="6" s="1"/>
  <c r="F23" i="6"/>
  <c r="G148" i="6"/>
  <c r="AD148" i="6"/>
  <c r="AH148" i="6" s="1"/>
  <c r="AL148" i="6" s="1"/>
  <c r="AP148" i="6" s="1"/>
  <c r="AT148" i="6" s="1"/>
  <c r="AX148" i="6" s="1"/>
  <c r="BB148" i="6" s="1"/>
  <c r="F148" i="6"/>
  <c r="AR29" i="6"/>
  <c r="BC139" i="6"/>
  <c r="BC144" i="6"/>
  <c r="BC138" i="6"/>
  <c r="BC146" i="6"/>
  <c r="AX23" i="6" l="1"/>
  <c r="BB23" i="6" s="1"/>
  <c r="H23" i="6"/>
  <c r="H148" i="6"/>
  <c r="AR103" i="6"/>
  <c r="AU98" i="6"/>
  <c r="AU91" i="6"/>
  <c r="AV90" i="6"/>
  <c r="AV88" i="6"/>
  <c r="AU88" i="6"/>
  <c r="AU87" i="6"/>
  <c r="AV139" i="6"/>
  <c r="AU139" i="6"/>
  <c r="AV76" i="6"/>
  <c r="AV74" i="6"/>
  <c r="AV72" i="6"/>
  <c r="AU72" i="6"/>
  <c r="AU66" i="6"/>
  <c r="AV61" i="6"/>
  <c r="AU61" i="6"/>
  <c r="AU60" i="6"/>
  <c r="AU57" i="6"/>
  <c r="AV48" i="6"/>
  <c r="AU48" i="6"/>
  <c r="AV46" i="6"/>
  <c r="AU46" i="6"/>
  <c r="AV149" i="6"/>
  <c r="AU41" i="6"/>
  <c r="AV155" i="6"/>
  <c r="AV40" i="6"/>
  <c r="AU39" i="6"/>
  <c r="AU36" i="6"/>
  <c r="AV34" i="6"/>
  <c r="AU34" i="6"/>
  <c r="AV33" i="6"/>
  <c r="AU33" i="6"/>
  <c r="AU31" i="6"/>
  <c r="AV30" i="6"/>
  <c r="AU30" i="6"/>
  <c r="AV29" i="6"/>
  <c r="AU20" i="6"/>
  <c r="AU18" i="6"/>
  <c r="AU17" i="6"/>
  <c r="AV138" i="6"/>
  <c r="AU138" i="6"/>
  <c r="AR28" i="6" l="1"/>
  <c r="AR91" i="6"/>
  <c r="AR68" i="6"/>
  <c r="AR58" i="6"/>
  <c r="AR55" i="6"/>
  <c r="AR37" i="6"/>
  <c r="AR13" i="6"/>
  <c r="AR93" i="6"/>
  <c r="AR82" i="6"/>
  <c r="AR79" i="6"/>
  <c r="AR139" i="6"/>
  <c r="AR77" i="6"/>
  <c r="AR61" i="6"/>
  <c r="AR57" i="6"/>
  <c r="AR54" i="6"/>
  <c r="AR41" i="6"/>
  <c r="AR35" i="6"/>
  <c r="AR33" i="6"/>
  <c r="AR31" i="6"/>
  <c r="AR19" i="6"/>
  <c r="AR18" i="6"/>
  <c r="AR17" i="6"/>
  <c r="AR16" i="6"/>
  <c r="AR138" i="6"/>
  <c r="AR14" i="6"/>
  <c r="G88" i="6" l="1"/>
  <c r="AR88" i="6"/>
  <c r="AQ88" i="6"/>
  <c r="AD88" i="6"/>
  <c r="AH88" i="6" s="1"/>
  <c r="AL88" i="6" s="1"/>
  <c r="AP88" i="6" s="1"/>
  <c r="F88" i="6"/>
  <c r="G39" i="6"/>
  <c r="AR39" i="6"/>
  <c r="AQ39" i="6"/>
  <c r="AD39" i="6"/>
  <c r="AH39" i="6" s="1"/>
  <c r="AL39" i="6" s="1"/>
  <c r="AP39" i="6" s="1"/>
  <c r="F39" i="6"/>
  <c r="G146" i="6"/>
  <c r="AQ146" i="6"/>
  <c r="AR146" i="6"/>
  <c r="AD146" i="6"/>
  <c r="AH146" i="6" s="1"/>
  <c r="AL146" i="6" s="1"/>
  <c r="AP146" i="6" s="1"/>
  <c r="F146" i="6"/>
  <c r="AR92" i="6"/>
  <c r="AR71" i="6"/>
  <c r="AR66" i="6"/>
  <c r="AR60" i="6"/>
  <c r="AR149" i="6"/>
  <c r="AR32" i="6"/>
  <c r="AR30" i="6"/>
  <c r="AQ98" i="6"/>
  <c r="AQ91" i="6"/>
  <c r="AQ87" i="6"/>
  <c r="AQ60" i="6"/>
  <c r="AQ58" i="6"/>
  <c r="AQ55" i="6"/>
  <c r="AQ37" i="6"/>
  <c r="AQ144" i="6"/>
  <c r="AQ14" i="6"/>
  <c r="AT88" i="6" l="1"/>
  <c r="AX88" i="6" s="1"/>
  <c r="BB88" i="6" s="1"/>
  <c r="AT39" i="6"/>
  <c r="AX39" i="6" s="1"/>
  <c r="BB39" i="6" s="1"/>
  <c r="H88" i="6"/>
  <c r="H39" i="6"/>
  <c r="AT146" i="6"/>
  <c r="AX146" i="6" s="1"/>
  <c r="H146" i="6"/>
  <c r="G103" i="6"/>
  <c r="AQ103" i="6"/>
  <c r="AD103" i="6"/>
  <c r="AH103" i="6" s="1"/>
  <c r="AL103" i="6" s="1"/>
  <c r="AP103" i="6" s="1"/>
  <c r="F103" i="6"/>
  <c r="AR36" i="6"/>
  <c r="AQ36" i="6"/>
  <c r="G36" i="6"/>
  <c r="AD36" i="6"/>
  <c r="AH36" i="6" s="1"/>
  <c r="AL36" i="6" s="1"/>
  <c r="AP36" i="6" s="1"/>
  <c r="F36" i="6"/>
  <c r="G13" i="6"/>
  <c r="AQ13" i="6"/>
  <c r="AN13" i="6"/>
  <c r="AM13" i="6"/>
  <c r="AJ13" i="6"/>
  <c r="AI13" i="6"/>
  <c r="AF13" i="6"/>
  <c r="AD13" i="6"/>
  <c r="F13" i="6"/>
  <c r="G28" i="6"/>
  <c r="AQ28" i="6"/>
  <c r="AN28" i="6"/>
  <c r="AM28" i="6"/>
  <c r="AJ28" i="6"/>
  <c r="AI28" i="6"/>
  <c r="AF28" i="6"/>
  <c r="AD28" i="6"/>
  <c r="F28" i="6"/>
  <c r="G90" i="6"/>
  <c r="AR90" i="6"/>
  <c r="AQ90" i="6"/>
  <c r="AN90" i="6"/>
  <c r="AM90" i="6"/>
  <c r="AJ90" i="6"/>
  <c r="AI90" i="6"/>
  <c r="AF90" i="6"/>
  <c r="AD90" i="6"/>
  <c r="F90" i="6"/>
  <c r="AT103" i="6" l="1"/>
  <c r="AX103" i="6" s="1"/>
  <c r="BB103" i="6" s="1"/>
  <c r="H36" i="6"/>
  <c r="AT36" i="6"/>
  <c r="AX36" i="6" s="1"/>
  <c r="BB36" i="6" s="1"/>
  <c r="H103" i="6"/>
  <c r="AH28" i="6"/>
  <c r="AL28" i="6" s="1"/>
  <c r="AP28" i="6" s="1"/>
  <c r="AT28" i="6" s="1"/>
  <c r="AX28" i="6" s="1"/>
  <c r="BB28" i="6" s="1"/>
  <c r="AH90" i="6"/>
  <c r="AL90" i="6" s="1"/>
  <c r="AP90" i="6" s="1"/>
  <c r="AT90" i="6" s="1"/>
  <c r="AX90" i="6" s="1"/>
  <c r="BB90" i="6" s="1"/>
  <c r="H13" i="6"/>
  <c r="AH13" i="6"/>
  <c r="AL13" i="6" s="1"/>
  <c r="AP13" i="6" s="1"/>
  <c r="AT13" i="6" s="1"/>
  <c r="AX13" i="6" s="1"/>
  <c r="BB13" i="6" s="1"/>
  <c r="H28" i="6"/>
  <c r="H90" i="6"/>
  <c r="BC133" i="6" l="1"/>
  <c r="G133" i="6" s="1"/>
  <c r="AR133" i="6"/>
  <c r="AQ133" i="6"/>
  <c r="AD133" i="6"/>
  <c r="AH133" i="6" s="1"/>
  <c r="AL133" i="6" s="1"/>
  <c r="AP133" i="6" s="1"/>
  <c r="F133" i="6"/>
  <c r="F132" i="6"/>
  <c r="AQ101" i="6"/>
  <c r="AQ93" i="6"/>
  <c r="AQ92" i="6"/>
  <c r="AQ82" i="6"/>
  <c r="AQ76" i="6"/>
  <c r="AQ71" i="6"/>
  <c r="AQ68" i="6"/>
  <c r="AQ64" i="6"/>
  <c r="AQ63" i="6"/>
  <c r="AQ61" i="6"/>
  <c r="AQ135" i="6"/>
  <c r="AQ59" i="6"/>
  <c r="AQ40" i="6"/>
  <c r="AQ33" i="6"/>
  <c r="AQ32" i="6"/>
  <c r="AQ30" i="6"/>
  <c r="AQ20" i="6"/>
  <c r="AQ18" i="6"/>
  <c r="AQ147" i="6"/>
  <c r="AQ16" i="6"/>
  <c r="AQ11" i="6"/>
  <c r="AT133" i="6" l="1"/>
  <c r="H133" i="6"/>
  <c r="AQ136" i="6" l="1"/>
  <c r="AQ53" i="6" l="1"/>
  <c r="AQ79" i="6" l="1"/>
  <c r="AQ29" i="6"/>
  <c r="AQ19" i="6"/>
  <c r="G60" i="6"/>
  <c r="AD60" i="6"/>
  <c r="AH60" i="6" s="1"/>
  <c r="AL60" i="6" s="1"/>
  <c r="AP60" i="6" s="1"/>
  <c r="AT60" i="6" s="1"/>
  <c r="AX60" i="6" s="1"/>
  <c r="BB60" i="6" s="1"/>
  <c r="AR134" i="6"/>
  <c r="AQ134" i="6"/>
  <c r="BC134" i="6"/>
  <c r="G134" i="6" s="1"/>
  <c r="AD134" i="6"/>
  <c r="AH134" i="6" s="1"/>
  <c r="AL134" i="6" s="1"/>
  <c r="AP134" i="6" s="1"/>
  <c r="F134" i="6"/>
  <c r="AT134" i="6" l="1"/>
  <c r="H134" i="6"/>
  <c r="BC132" i="6" l="1"/>
  <c r="G132" i="6" s="1"/>
  <c r="H132" i="6" s="1"/>
  <c r="AR132" i="6"/>
  <c r="AQ132" i="6"/>
  <c r="AD132" i="6"/>
  <c r="AH132" i="6" s="1"/>
  <c r="AL132" i="6" s="1"/>
  <c r="AP132" i="6" s="1"/>
  <c r="F58" i="6"/>
  <c r="F101" i="6"/>
  <c r="AT132" i="6" l="1"/>
  <c r="F60" i="6"/>
  <c r="H60" i="6" l="1"/>
  <c r="G74" i="6"/>
  <c r="AR74" i="6"/>
  <c r="AQ74" i="6"/>
  <c r="AD74" i="6"/>
  <c r="AH74" i="6" s="1"/>
  <c r="AL74" i="6" s="1"/>
  <c r="AP74" i="6" s="1"/>
  <c r="AT74" i="6" s="1"/>
  <c r="AX74" i="6" s="1"/>
  <c r="BB74" i="6" s="1"/>
  <c r="F74" i="6"/>
  <c r="H74" i="6" l="1"/>
  <c r="BC135" i="6"/>
  <c r="G135" i="6" s="1"/>
  <c r="AR135" i="6"/>
  <c r="AD135" i="6"/>
  <c r="AH135" i="6" s="1"/>
  <c r="AL135" i="6" s="1"/>
  <c r="AP135" i="6" s="1"/>
  <c r="AT135" i="6" s="1"/>
  <c r="F135" i="6"/>
  <c r="H135" i="6" l="1"/>
  <c r="G91" i="6"/>
  <c r="AD91" i="6"/>
  <c r="AH91" i="6" s="1"/>
  <c r="AL91" i="6" s="1"/>
  <c r="AP91" i="6" s="1"/>
  <c r="AT91" i="6" s="1"/>
  <c r="AX91" i="6" s="1"/>
  <c r="BB91" i="6" s="1"/>
  <c r="F91" i="6"/>
  <c r="H91" i="6" l="1"/>
  <c r="BC136" i="6"/>
  <c r="G136" i="6" s="1"/>
  <c r="AR136" i="6"/>
  <c r="AD136" i="6"/>
  <c r="AH136" i="6" s="1"/>
  <c r="AL136" i="6" s="1"/>
  <c r="AP136" i="6" s="1"/>
  <c r="W136" i="6"/>
  <c r="F136" i="6"/>
  <c r="AT136" i="6" l="1"/>
  <c r="H136" i="6"/>
  <c r="G101" i="6"/>
  <c r="H101" i="6" s="1"/>
  <c r="BC131" i="6"/>
  <c r="AR101" i="6" l="1"/>
  <c r="AD101" i="6"/>
  <c r="AH101" i="6" s="1"/>
  <c r="AL101" i="6" s="1"/>
  <c r="AP101" i="6" s="1"/>
  <c r="AQ139" i="6"/>
  <c r="G58" i="6"/>
  <c r="H58" i="6" s="1"/>
  <c r="AD58" i="6"/>
  <c r="AH58" i="6" s="1"/>
  <c r="AL58" i="6" s="1"/>
  <c r="AP58" i="6" s="1"/>
  <c r="AQ138" i="6"/>
  <c r="G11" i="6"/>
  <c r="AR11" i="6"/>
  <c r="AN11" i="6"/>
  <c r="AM11" i="6"/>
  <c r="AJ11" i="6"/>
  <c r="AI11" i="6"/>
  <c r="AF11" i="6"/>
  <c r="AE11" i="6"/>
  <c r="AD11" i="6"/>
  <c r="F11" i="6"/>
  <c r="AT101" i="6" l="1"/>
  <c r="AX101" i="6" s="1"/>
  <c r="BB101" i="6" s="1"/>
  <c r="H11" i="6"/>
  <c r="AT58" i="6"/>
  <c r="AX58" i="6" s="1"/>
  <c r="BB58" i="6" s="1"/>
  <c r="AH11" i="6"/>
  <c r="AL11" i="6" s="1"/>
  <c r="AP11" i="6" s="1"/>
  <c r="AT11" i="6" s="1"/>
  <c r="AX11" i="6" s="1"/>
  <c r="BB11" i="6" s="1"/>
  <c r="AR98" i="6"/>
  <c r="AR87" i="6"/>
  <c r="AR81" i="6"/>
  <c r="AQ81" i="6"/>
  <c r="AQ77" i="6"/>
  <c r="AR76" i="6"/>
  <c r="AR72" i="6"/>
  <c r="AQ72" i="6"/>
  <c r="AQ66" i="6"/>
  <c r="AR64" i="6"/>
  <c r="AR63" i="6"/>
  <c r="AR59" i="6"/>
  <c r="AQ57" i="6"/>
  <c r="AQ54" i="6"/>
  <c r="AR53" i="6"/>
  <c r="AR49" i="6"/>
  <c r="AQ49" i="6"/>
  <c r="AR48" i="6"/>
  <c r="AQ48" i="6"/>
  <c r="AR46" i="6"/>
  <c r="AQ46" i="6"/>
  <c r="AQ149" i="6"/>
  <c r="AQ41" i="6"/>
  <c r="AR155" i="6"/>
  <c r="AQ155" i="6"/>
  <c r="AR40" i="6"/>
  <c r="AR38" i="6"/>
  <c r="AQ38" i="6"/>
  <c r="AR144" i="6"/>
  <c r="AQ35" i="6"/>
  <c r="AR34" i="6"/>
  <c r="AQ34" i="6"/>
  <c r="AQ31" i="6"/>
  <c r="AR21" i="6"/>
  <c r="AQ21" i="6"/>
  <c r="AR20" i="6"/>
  <c r="AQ17" i="6"/>
  <c r="AR147" i="6"/>
  <c r="AR131" i="6"/>
  <c r="AQ131" i="6"/>
  <c r="AN93" i="6"/>
  <c r="AN92" i="6"/>
  <c r="AN81" i="6"/>
  <c r="AN79" i="6"/>
  <c r="AN77" i="6"/>
  <c r="AN63" i="6"/>
  <c r="AN53" i="6"/>
  <c r="AN41" i="6"/>
  <c r="AN38" i="6"/>
  <c r="AN32" i="6"/>
  <c r="AN30" i="6"/>
  <c r="G147" i="6"/>
  <c r="AN147" i="6"/>
  <c r="AM147" i="6"/>
  <c r="AH147" i="6"/>
  <c r="AL147" i="6" s="1"/>
  <c r="F147" i="6"/>
  <c r="AP147" i="6" l="1"/>
  <c r="AT147" i="6" s="1"/>
  <c r="AX147" i="6" s="1"/>
  <c r="BB147" i="6" s="1"/>
  <c r="H147" i="6"/>
  <c r="AN98" i="6"/>
  <c r="AN87" i="6"/>
  <c r="AN76" i="6"/>
  <c r="AN59" i="6"/>
  <c r="AN55" i="6"/>
  <c r="AN34" i="6"/>
  <c r="AN14" i="6"/>
  <c r="G16" i="6"/>
  <c r="AN16" i="6"/>
  <c r="AM16" i="6"/>
  <c r="AH16" i="6"/>
  <c r="AL16" i="6" s="1"/>
  <c r="F16" i="6"/>
  <c r="AN31" i="6"/>
  <c r="G9" i="6"/>
  <c r="AR9" i="6"/>
  <c r="AQ9" i="6"/>
  <c r="AN9" i="6"/>
  <c r="AM9" i="6"/>
  <c r="AJ9" i="6"/>
  <c r="AI9" i="6"/>
  <c r="AF9" i="6"/>
  <c r="AD9" i="6"/>
  <c r="F9" i="6"/>
  <c r="AH9" i="6" l="1"/>
  <c r="AL9" i="6" s="1"/>
  <c r="AP9" i="6" s="1"/>
  <c r="AT9" i="6" s="1"/>
  <c r="AX9" i="6" s="1"/>
  <c r="BB9" i="6" s="1"/>
  <c r="AP16" i="6"/>
  <c r="AT16" i="6" s="1"/>
  <c r="AX16" i="6" s="1"/>
  <c r="BB16" i="6" s="1"/>
  <c r="H16" i="6"/>
  <c r="H9" i="6"/>
  <c r="G29" i="6"/>
  <c r="AN29" i="6"/>
  <c r="AM29" i="6"/>
  <c r="AD29" i="6"/>
  <c r="AH29" i="6" s="1"/>
  <c r="AL29" i="6" s="1"/>
  <c r="F29" i="6"/>
  <c r="G40" i="6"/>
  <c r="AN40" i="6"/>
  <c r="AM40" i="6"/>
  <c r="AD40" i="6"/>
  <c r="AH40" i="6" s="1"/>
  <c r="AL40" i="6" s="1"/>
  <c r="F40" i="6"/>
  <c r="AM19" i="6"/>
  <c r="AP40" i="6" l="1"/>
  <c r="AT40" i="6" s="1"/>
  <c r="AX40" i="6" s="1"/>
  <c r="BB40" i="6" s="1"/>
  <c r="AP29" i="6"/>
  <c r="AT29" i="6" s="1"/>
  <c r="AX29" i="6" s="1"/>
  <c r="BB29" i="6" s="1"/>
  <c r="H29" i="6"/>
  <c r="H40" i="6"/>
  <c r="AM87" i="6"/>
  <c r="AM92" i="6"/>
  <c r="AM35" i="6"/>
  <c r="AM38" i="6"/>
  <c r="G57" i="6" l="1"/>
  <c r="AN57" i="6"/>
  <c r="AM57" i="6"/>
  <c r="AD57" i="6"/>
  <c r="AH57" i="6" s="1"/>
  <c r="AL57" i="6" s="1"/>
  <c r="F57" i="6"/>
  <c r="AM61" i="6"/>
  <c r="AM41" i="6"/>
  <c r="AM31" i="6"/>
  <c r="AP57" i="6" l="1"/>
  <c r="AT57" i="6" s="1"/>
  <c r="AX57" i="6" s="1"/>
  <c r="BB57" i="6" s="1"/>
  <c r="H57" i="6"/>
  <c r="G79" i="6"/>
  <c r="AM79" i="6"/>
  <c r="AD79" i="6"/>
  <c r="AH79" i="6" s="1"/>
  <c r="AL79" i="6" s="1"/>
  <c r="F79" i="6"/>
  <c r="G53" i="6"/>
  <c r="AM53" i="6"/>
  <c r="AD53" i="6"/>
  <c r="AH53" i="6" s="1"/>
  <c r="AL53" i="6" s="1"/>
  <c r="F53" i="6"/>
  <c r="AM68" i="6"/>
  <c r="AP79" i="6" l="1"/>
  <c r="AT79" i="6" s="1"/>
  <c r="AX79" i="6" s="1"/>
  <c r="BB79" i="6" s="1"/>
  <c r="AP53" i="6"/>
  <c r="AT53" i="6" s="1"/>
  <c r="AX53" i="6" s="1"/>
  <c r="BB53" i="6" s="1"/>
  <c r="H79" i="6"/>
  <c r="H53" i="6"/>
  <c r="G82" i="6"/>
  <c r="AN82" i="6"/>
  <c r="AM82" i="6"/>
  <c r="AJ82" i="6"/>
  <c r="AI82" i="6"/>
  <c r="AD82" i="6"/>
  <c r="AH82" i="6" s="1"/>
  <c r="F82" i="6"/>
  <c r="AL82" i="6" l="1"/>
  <c r="AP82" i="6" s="1"/>
  <c r="AT82" i="6" s="1"/>
  <c r="AX82" i="6" s="1"/>
  <c r="BB82" i="6" s="1"/>
  <c r="H82" i="6"/>
  <c r="G93" i="6"/>
  <c r="AM93" i="6"/>
  <c r="AD93" i="6"/>
  <c r="AH93" i="6" s="1"/>
  <c r="AL93" i="6" s="1"/>
  <c r="F93" i="6"/>
  <c r="G59" i="6"/>
  <c r="AM59" i="6"/>
  <c r="AD59" i="6"/>
  <c r="AH59" i="6" s="1"/>
  <c r="AL59" i="6" s="1"/>
  <c r="F59" i="6"/>
  <c r="AP93" i="6" l="1"/>
  <c r="AT93" i="6" s="1"/>
  <c r="AX93" i="6" s="1"/>
  <c r="BB93" i="6" s="1"/>
  <c r="H59" i="6"/>
  <c r="H93" i="6"/>
  <c r="AP59" i="6"/>
  <c r="AT59" i="6" s="1"/>
  <c r="AX59" i="6" s="1"/>
  <c r="BB59" i="6" s="1"/>
  <c r="G31" i="6"/>
  <c r="AD31" i="6"/>
  <c r="AH31" i="6" s="1"/>
  <c r="AL31" i="6" s="1"/>
  <c r="AP31" i="6" s="1"/>
  <c r="AT31" i="6" s="1"/>
  <c r="AX31" i="6" s="1"/>
  <c r="BB31" i="6" s="1"/>
  <c r="F31" i="6"/>
  <c r="G32" i="6"/>
  <c r="AM32" i="6"/>
  <c r="AD32" i="6"/>
  <c r="AH32" i="6" s="1"/>
  <c r="AL32" i="6" s="1"/>
  <c r="F32" i="6"/>
  <c r="H32" i="6" l="1"/>
  <c r="AP32" i="6"/>
  <c r="AT32" i="6" s="1"/>
  <c r="AX32" i="6" s="1"/>
  <c r="BB32" i="6" s="1"/>
  <c r="H31" i="6"/>
  <c r="G19" i="6"/>
  <c r="AN19" i="6"/>
  <c r="AD19" i="6"/>
  <c r="AH19" i="6" s="1"/>
  <c r="AL19" i="6" s="1"/>
  <c r="F19" i="6"/>
  <c r="AM71" i="6"/>
  <c r="G71" i="6"/>
  <c r="AN71" i="6"/>
  <c r="AJ71" i="6"/>
  <c r="AI71" i="6"/>
  <c r="AD71" i="6"/>
  <c r="AH71" i="6" s="1"/>
  <c r="F71" i="6"/>
  <c r="AP19" i="6" l="1"/>
  <c r="AT19" i="6" s="1"/>
  <c r="AX19" i="6" s="1"/>
  <c r="BB19" i="6" s="1"/>
  <c r="H19" i="6"/>
  <c r="AL71" i="6"/>
  <c r="AP71" i="6" s="1"/>
  <c r="AT71" i="6" s="1"/>
  <c r="AX71" i="6" s="1"/>
  <c r="BB71" i="6" s="1"/>
  <c r="H71" i="6"/>
  <c r="AN130" i="6"/>
  <c r="AM130" i="6"/>
  <c r="BC130" i="6"/>
  <c r="G130" i="6" s="1"/>
  <c r="AD130" i="6"/>
  <c r="AH130" i="6" s="1"/>
  <c r="AL130" i="6" s="1"/>
  <c r="F130" i="6"/>
  <c r="G139" i="6"/>
  <c r="AN139" i="6"/>
  <c r="AM139" i="6"/>
  <c r="AD139" i="6"/>
  <c r="AH139" i="6" s="1"/>
  <c r="AL139" i="6" s="1"/>
  <c r="F139" i="6"/>
  <c r="G72" i="6"/>
  <c r="AN72" i="6"/>
  <c r="AM72" i="6"/>
  <c r="AD72" i="6"/>
  <c r="AH72" i="6" s="1"/>
  <c r="AL72" i="6" s="1"/>
  <c r="F72" i="6"/>
  <c r="H130" i="6" l="1"/>
  <c r="H72" i="6"/>
  <c r="AP139" i="6"/>
  <c r="AT139" i="6" s="1"/>
  <c r="AX139" i="6" s="1"/>
  <c r="AP130" i="6"/>
  <c r="AT130" i="6" s="1"/>
  <c r="AP72" i="6"/>
  <c r="AT72" i="6" s="1"/>
  <c r="AX72" i="6" s="1"/>
  <c r="BB72" i="6" s="1"/>
  <c r="H139" i="6"/>
  <c r="G63" i="6"/>
  <c r="AM63" i="6"/>
  <c r="AD63" i="6"/>
  <c r="AH63" i="6" s="1"/>
  <c r="AL63" i="6" s="1"/>
  <c r="F63" i="6"/>
  <c r="AP63" i="6" l="1"/>
  <c r="AT63" i="6" s="1"/>
  <c r="AX63" i="6" s="1"/>
  <c r="BB63" i="6" s="1"/>
  <c r="H63" i="6"/>
  <c r="G55" i="6" l="1"/>
  <c r="AM55" i="6"/>
  <c r="AD55" i="6"/>
  <c r="AH55" i="6" s="1"/>
  <c r="AL55" i="6" s="1"/>
  <c r="F55" i="6"/>
  <c r="H55" i="6" l="1"/>
  <c r="AP55" i="6"/>
  <c r="AT55" i="6" s="1"/>
  <c r="AX55" i="6" s="1"/>
  <c r="BB55" i="6" s="1"/>
  <c r="G149" i="6" l="1"/>
  <c r="AN149" i="6"/>
  <c r="AM149" i="6"/>
  <c r="AD149" i="6"/>
  <c r="AH149" i="6" s="1"/>
  <c r="AL149" i="6" s="1"/>
  <c r="F149" i="6"/>
  <c r="BC129" i="6"/>
  <c r="G129" i="6" s="1"/>
  <c r="AN129" i="6"/>
  <c r="AM129" i="6"/>
  <c r="AD129" i="6"/>
  <c r="AH129" i="6" s="1"/>
  <c r="AL129" i="6" s="1"/>
  <c r="F129" i="6"/>
  <c r="G138" i="6"/>
  <c r="AN138" i="6"/>
  <c r="AM138" i="6"/>
  <c r="AH138" i="6"/>
  <c r="AL138" i="6" s="1"/>
  <c r="F138" i="6"/>
  <c r="AP129" i="6" l="1"/>
  <c r="AT129" i="6" s="1"/>
  <c r="H149" i="6"/>
  <c r="H138" i="6"/>
  <c r="H129" i="6"/>
  <c r="AP138" i="6"/>
  <c r="AT138" i="6" s="1"/>
  <c r="AX138" i="6" s="1"/>
  <c r="AP149" i="6"/>
  <c r="AT149" i="6" s="1"/>
  <c r="AX149" i="6" s="1"/>
  <c r="BB149" i="6" s="1"/>
  <c r="AM18" i="6"/>
  <c r="AM76" i="6"/>
  <c r="G66" i="6" l="1"/>
  <c r="AN66" i="6"/>
  <c r="AM66" i="6"/>
  <c r="AJ66" i="6"/>
  <c r="AI66" i="6"/>
  <c r="AD66" i="6"/>
  <c r="AH66" i="6" s="1"/>
  <c r="F66" i="6"/>
  <c r="G38" i="6"/>
  <c r="AL66" i="6" l="1"/>
  <c r="AP66" i="6" s="1"/>
  <c r="AT66" i="6" s="1"/>
  <c r="AX66" i="6" s="1"/>
  <c r="BB66" i="6" s="1"/>
  <c r="H66" i="6"/>
  <c r="AN68" i="6"/>
  <c r="AN64" i="6"/>
  <c r="AN61" i="6"/>
  <c r="AN54" i="6"/>
  <c r="AN49" i="6"/>
  <c r="AN48" i="6"/>
  <c r="AN46" i="6"/>
  <c r="AN155" i="6"/>
  <c r="AN37" i="6"/>
  <c r="AN144" i="6"/>
  <c r="AN35" i="6"/>
  <c r="AN33" i="6"/>
  <c r="AN21" i="6"/>
  <c r="AN20" i="6"/>
  <c r="AN18" i="6"/>
  <c r="AN17" i="6"/>
  <c r="AN131" i="6"/>
  <c r="AM98" i="6"/>
  <c r="AM81" i="6"/>
  <c r="AM77" i="6"/>
  <c r="AM64" i="6"/>
  <c r="AM54" i="6"/>
  <c r="AM49" i="6"/>
  <c r="AM48" i="6"/>
  <c r="AM46" i="6"/>
  <c r="AM155" i="6"/>
  <c r="AM37" i="6"/>
  <c r="AM144" i="6"/>
  <c r="AM34" i="6"/>
  <c r="AM33" i="6"/>
  <c r="AM30" i="6"/>
  <c r="AM21" i="6"/>
  <c r="AM20" i="6"/>
  <c r="AM17" i="6"/>
  <c r="AM14" i="6"/>
  <c r="AM131" i="6"/>
  <c r="AJ34" i="6"/>
  <c r="AJ18" i="6"/>
  <c r="AJ77" i="6" l="1"/>
  <c r="AJ68" i="6"/>
  <c r="AJ64" i="6"/>
  <c r="AJ61" i="6"/>
  <c r="AJ37" i="6"/>
  <c r="AJ144" i="6"/>
  <c r="AJ33" i="6"/>
  <c r="AJ30" i="6"/>
  <c r="AJ17" i="6"/>
  <c r="G87" i="6"/>
  <c r="AJ87" i="6"/>
  <c r="AI87" i="6"/>
  <c r="AD87" i="6"/>
  <c r="AH87" i="6" s="1"/>
  <c r="F87" i="6"/>
  <c r="AJ92" i="6"/>
  <c r="AJ76" i="6"/>
  <c r="AJ38" i="6"/>
  <c r="AL87" i="6" l="1"/>
  <c r="AP87" i="6" s="1"/>
  <c r="AT87" i="6" s="1"/>
  <c r="AX87" i="6" s="1"/>
  <c r="BB87" i="6" s="1"/>
  <c r="H87" i="6"/>
  <c r="G98" i="6" l="1"/>
  <c r="AJ98" i="6"/>
  <c r="AI98" i="6"/>
  <c r="AD98" i="6"/>
  <c r="AH98" i="6" s="1"/>
  <c r="F98" i="6"/>
  <c r="G54" i="6"/>
  <c r="AJ54" i="6"/>
  <c r="AI54" i="6"/>
  <c r="AD54" i="6"/>
  <c r="AH54" i="6" s="1"/>
  <c r="F54" i="6"/>
  <c r="AJ14" i="6"/>
  <c r="AL98" i="6" l="1"/>
  <c r="AP98" i="6" s="1"/>
  <c r="AT98" i="6" s="1"/>
  <c r="AX98" i="6" s="1"/>
  <c r="BB98" i="6" s="1"/>
  <c r="AL54" i="6"/>
  <c r="AP54" i="6" s="1"/>
  <c r="AT54" i="6" s="1"/>
  <c r="AX54" i="6" s="1"/>
  <c r="BB54" i="6" s="1"/>
  <c r="H54" i="6"/>
  <c r="H98" i="6"/>
  <c r="G92" i="6"/>
  <c r="AI92" i="6"/>
  <c r="AF92" i="6"/>
  <c r="AD92" i="6"/>
  <c r="F92" i="6"/>
  <c r="AJ81" i="6"/>
  <c r="AJ41" i="6"/>
  <c r="AJ35" i="6"/>
  <c r="AJ131" i="6"/>
  <c r="AH92" i="6" l="1"/>
  <c r="AL92" i="6" s="1"/>
  <c r="AP92" i="6" s="1"/>
  <c r="AT92" i="6" s="1"/>
  <c r="AX92" i="6" s="1"/>
  <c r="BB92" i="6" s="1"/>
  <c r="H92" i="6"/>
  <c r="AI37" i="6" l="1"/>
  <c r="AI38" i="6"/>
  <c r="G17" i="6" l="1"/>
  <c r="AI17" i="6"/>
  <c r="AF17" i="6"/>
  <c r="AD17" i="6"/>
  <c r="F17" i="6"/>
  <c r="AI14" i="6"/>
  <c r="AH17" i="6" l="1"/>
  <c r="AL17" i="6" s="1"/>
  <c r="AP17" i="6" s="1"/>
  <c r="AT17" i="6" s="1"/>
  <c r="AX17" i="6" s="1"/>
  <c r="BB17" i="6" s="1"/>
  <c r="H17" i="6"/>
  <c r="G49" i="6" l="1"/>
  <c r="AJ49" i="6"/>
  <c r="AI49" i="6"/>
  <c r="AD49" i="6"/>
  <c r="AH49" i="6" s="1"/>
  <c r="F49" i="6"/>
  <c r="AL49" i="6" l="1"/>
  <c r="AP49" i="6" s="1"/>
  <c r="AT49" i="6" s="1"/>
  <c r="AX49" i="6" s="1"/>
  <c r="BB49" i="6" s="1"/>
  <c r="H49" i="6"/>
  <c r="G144" i="6" l="1"/>
  <c r="AI144" i="6"/>
  <c r="AD144" i="6"/>
  <c r="AH144" i="6" s="1"/>
  <c r="F144" i="6"/>
  <c r="G125" i="6"/>
  <c r="AJ125" i="6"/>
  <c r="AI125" i="6"/>
  <c r="AD125" i="6"/>
  <c r="AH125" i="6" s="1"/>
  <c r="F125" i="6"/>
  <c r="G128" i="6"/>
  <c r="AJ128" i="6"/>
  <c r="AI128" i="6"/>
  <c r="AD128" i="6"/>
  <c r="AH128" i="6" s="1"/>
  <c r="F128" i="6"/>
  <c r="AL144" i="6" l="1"/>
  <c r="AP144" i="6" s="1"/>
  <c r="AT144" i="6" s="1"/>
  <c r="AX144" i="6" s="1"/>
  <c r="AL125" i="6"/>
  <c r="H144" i="6"/>
  <c r="H125" i="6"/>
  <c r="H128" i="6"/>
  <c r="AL128" i="6"/>
  <c r="AJ126" i="6" l="1"/>
  <c r="AI126" i="6"/>
  <c r="AI81" i="6"/>
  <c r="AJ124" i="6"/>
  <c r="AI124" i="6"/>
  <c r="AI77" i="6"/>
  <c r="AI76" i="6"/>
  <c r="AI68" i="6"/>
  <c r="AI64" i="6"/>
  <c r="AI61" i="6"/>
  <c r="AJ48" i="6"/>
  <c r="AI48" i="6"/>
  <c r="AJ46" i="6"/>
  <c r="AI46" i="6"/>
  <c r="AJ127" i="6"/>
  <c r="AI127" i="6"/>
  <c r="AI41" i="6"/>
  <c r="AJ155" i="6"/>
  <c r="AI155" i="6"/>
  <c r="AI35" i="6"/>
  <c r="AI34" i="6"/>
  <c r="AI33" i="6"/>
  <c r="AI30" i="6"/>
  <c r="AJ21" i="6"/>
  <c r="AI21" i="6"/>
  <c r="AJ20" i="6"/>
  <c r="AI20" i="6"/>
  <c r="AI18" i="6"/>
  <c r="AI131" i="6"/>
  <c r="AF126" i="6" l="1"/>
  <c r="AF124" i="6"/>
  <c r="AF81" i="6"/>
  <c r="AF77" i="6"/>
  <c r="AF76" i="6"/>
  <c r="AF68" i="6"/>
  <c r="AF64" i="6"/>
  <c r="AF61" i="6"/>
  <c r="AF127" i="6"/>
  <c r="AF123" i="6"/>
  <c r="AF41" i="6"/>
  <c r="AF155" i="6"/>
  <c r="AF38" i="6"/>
  <c r="AF37" i="6"/>
  <c r="AF35" i="6"/>
  <c r="AF34" i="6"/>
  <c r="AF33" i="6"/>
  <c r="AF30" i="6"/>
  <c r="AF21" i="6"/>
  <c r="AF20" i="6"/>
  <c r="AF18" i="6"/>
  <c r="AF14" i="6"/>
  <c r="AF131" i="6"/>
  <c r="G30" i="6" l="1"/>
  <c r="AE30" i="6"/>
  <c r="AD30" i="6"/>
  <c r="F30" i="6"/>
  <c r="AH30" i="6" l="1"/>
  <c r="AL30" i="6" s="1"/>
  <c r="AP30" i="6" s="1"/>
  <c r="AT30" i="6" s="1"/>
  <c r="AX30" i="6" s="1"/>
  <c r="BB30" i="6" s="1"/>
  <c r="H30" i="6"/>
  <c r="G124" i="6" l="1"/>
  <c r="AD124" i="6"/>
  <c r="AH124" i="6" s="1"/>
  <c r="AL124" i="6" s="1"/>
  <c r="F124" i="6"/>
  <c r="H124" i="6" l="1"/>
  <c r="AF48" i="6" l="1"/>
  <c r="AF46" i="6"/>
  <c r="AE48" i="6" l="1"/>
  <c r="AE34" i="6"/>
  <c r="AE18" i="6"/>
  <c r="AE76" i="6" l="1"/>
  <c r="G68" i="6" l="1"/>
  <c r="AD68" i="6"/>
  <c r="AH68" i="6" s="1"/>
  <c r="AL68" i="6" s="1"/>
  <c r="AP68" i="6" s="1"/>
  <c r="AT68" i="6" s="1"/>
  <c r="AX68" i="6" s="1"/>
  <c r="BB68" i="6" s="1"/>
  <c r="F68" i="6"/>
  <c r="H68" i="6" l="1"/>
  <c r="G127" i="6"/>
  <c r="AD127" i="6"/>
  <c r="AH127" i="6" s="1"/>
  <c r="AL127" i="6" s="1"/>
  <c r="F127" i="6"/>
  <c r="H127" i="6" l="1"/>
  <c r="AE14" i="6"/>
  <c r="G118" i="6" l="1"/>
  <c r="AD118" i="6"/>
  <c r="AH118" i="6" s="1"/>
  <c r="F118" i="6"/>
  <c r="H118" i="6" l="1"/>
  <c r="F41" i="6" l="1"/>
  <c r="AD126" i="6"/>
  <c r="AH126" i="6" s="1"/>
  <c r="AL126" i="6" s="1"/>
  <c r="AD81" i="6"/>
  <c r="AH81" i="6" s="1"/>
  <c r="AL81" i="6" s="1"/>
  <c r="AP81" i="6" s="1"/>
  <c r="AT81" i="6" s="1"/>
  <c r="AX81" i="6" s="1"/>
  <c r="BB81" i="6" s="1"/>
  <c r="AD77" i="6"/>
  <c r="AH77" i="6" s="1"/>
  <c r="AL77" i="6" s="1"/>
  <c r="AP77" i="6" s="1"/>
  <c r="AT77" i="6" s="1"/>
  <c r="AX77" i="6" s="1"/>
  <c r="BB77" i="6" s="1"/>
  <c r="AD76" i="6"/>
  <c r="AH76" i="6" s="1"/>
  <c r="AL76" i="6" s="1"/>
  <c r="AP76" i="6" s="1"/>
  <c r="AT76" i="6" s="1"/>
  <c r="AX76" i="6" s="1"/>
  <c r="BB76" i="6" s="1"/>
  <c r="AD64" i="6"/>
  <c r="AH64" i="6" s="1"/>
  <c r="AL64" i="6" s="1"/>
  <c r="AP64" i="6" s="1"/>
  <c r="AT64" i="6" s="1"/>
  <c r="AX64" i="6" s="1"/>
  <c r="BB64" i="6" s="1"/>
  <c r="AD61" i="6"/>
  <c r="AH61" i="6" s="1"/>
  <c r="AL61" i="6" s="1"/>
  <c r="AP61" i="6" s="1"/>
  <c r="AT61" i="6" s="1"/>
  <c r="AX61" i="6" s="1"/>
  <c r="BB61" i="6" s="1"/>
  <c r="AD120" i="6"/>
  <c r="AH120" i="6" s="1"/>
  <c r="AD119" i="6"/>
  <c r="AH119" i="6" s="1"/>
  <c r="AD48" i="6"/>
  <c r="AH48" i="6" s="1"/>
  <c r="AL48" i="6" s="1"/>
  <c r="AP48" i="6" s="1"/>
  <c r="AT48" i="6" s="1"/>
  <c r="AX48" i="6" s="1"/>
  <c r="BB48" i="6" s="1"/>
  <c r="AD46" i="6"/>
  <c r="AH46" i="6" s="1"/>
  <c r="AL46" i="6" s="1"/>
  <c r="AP46" i="6" s="1"/>
  <c r="AT46" i="6" s="1"/>
  <c r="AX46" i="6" s="1"/>
  <c r="BB46" i="6" s="1"/>
  <c r="AD123" i="6"/>
  <c r="AH123" i="6" s="1"/>
  <c r="AD41" i="6"/>
  <c r="AH41" i="6" s="1"/>
  <c r="AL41" i="6" s="1"/>
  <c r="AP41" i="6" s="1"/>
  <c r="AT41" i="6" s="1"/>
  <c r="AX41" i="6" s="1"/>
  <c r="BB41" i="6" s="1"/>
  <c r="AD155" i="6"/>
  <c r="AH155" i="6" s="1"/>
  <c r="AL155" i="6" s="1"/>
  <c r="AP155" i="6" s="1"/>
  <c r="AT155" i="6" s="1"/>
  <c r="AX155" i="6" s="1"/>
  <c r="BB155" i="6" s="1"/>
  <c r="AD122" i="6"/>
  <c r="AH122" i="6" s="1"/>
  <c r="AD38" i="6"/>
  <c r="AH38" i="6" s="1"/>
  <c r="AL38" i="6" s="1"/>
  <c r="AP38" i="6" s="1"/>
  <c r="AT38" i="6" s="1"/>
  <c r="AX38" i="6" s="1"/>
  <c r="BB38" i="6" s="1"/>
  <c r="AD37" i="6"/>
  <c r="AH37" i="6" s="1"/>
  <c r="AL37" i="6" s="1"/>
  <c r="AP37" i="6" s="1"/>
  <c r="AT37" i="6" s="1"/>
  <c r="AX37" i="6" s="1"/>
  <c r="BB37" i="6" s="1"/>
  <c r="AD35" i="6"/>
  <c r="AH35" i="6" s="1"/>
  <c r="AL35" i="6" s="1"/>
  <c r="AP35" i="6" s="1"/>
  <c r="AT35" i="6" s="1"/>
  <c r="AX35" i="6" s="1"/>
  <c r="BB35" i="6" s="1"/>
  <c r="AD34" i="6"/>
  <c r="AH34" i="6" s="1"/>
  <c r="AL34" i="6" s="1"/>
  <c r="AP34" i="6" s="1"/>
  <c r="AT34" i="6" s="1"/>
  <c r="AX34" i="6" s="1"/>
  <c r="BB34" i="6" s="1"/>
  <c r="AD33" i="6"/>
  <c r="AH33" i="6" s="1"/>
  <c r="AL33" i="6" s="1"/>
  <c r="AP33" i="6" s="1"/>
  <c r="AT33" i="6" s="1"/>
  <c r="AX33" i="6" s="1"/>
  <c r="BB33" i="6" s="1"/>
  <c r="AD121" i="6"/>
  <c r="AH121" i="6" s="1"/>
  <c r="AD21" i="6"/>
  <c r="AH21" i="6" s="1"/>
  <c r="AL21" i="6" s="1"/>
  <c r="AP21" i="6" s="1"/>
  <c r="AT21" i="6" s="1"/>
  <c r="AX21" i="6" s="1"/>
  <c r="BB21" i="6" s="1"/>
  <c r="AD20" i="6"/>
  <c r="AH20" i="6" s="1"/>
  <c r="AL20" i="6" s="1"/>
  <c r="AP20" i="6" s="1"/>
  <c r="AT20" i="6" s="1"/>
  <c r="AX20" i="6" s="1"/>
  <c r="BB20" i="6" s="1"/>
  <c r="AD18" i="6"/>
  <c r="AH18" i="6" s="1"/>
  <c r="AL18" i="6" s="1"/>
  <c r="AP18" i="6" s="1"/>
  <c r="AT18" i="6" s="1"/>
  <c r="AX18" i="6" s="1"/>
  <c r="BB18" i="6" s="1"/>
  <c r="AD14" i="6"/>
  <c r="AH14" i="6" s="1"/>
  <c r="AL14" i="6" s="1"/>
  <c r="AP14" i="6" s="1"/>
  <c r="AT14" i="6" s="1"/>
  <c r="AX14" i="6" s="1"/>
  <c r="BB14" i="6" s="1"/>
  <c r="AD131" i="6"/>
  <c r="AH131" i="6" s="1"/>
  <c r="AL131" i="6" s="1"/>
  <c r="AP131" i="6" s="1"/>
  <c r="AT131" i="6" s="1"/>
  <c r="G41" i="6" l="1"/>
  <c r="H41" i="6" s="1"/>
  <c r="G34" i="6" l="1"/>
  <c r="F34" i="6"/>
  <c r="G121" i="6"/>
  <c r="F121" i="6"/>
  <c r="H34" i="6" l="1"/>
  <c r="H121" i="6"/>
  <c r="F64" i="6" l="1"/>
  <c r="F37" i="6" l="1"/>
  <c r="F20" i="6"/>
  <c r="F120" i="6" l="1"/>
  <c r="G117" i="6" l="1"/>
  <c r="F117" i="6"/>
  <c r="F61" i="6"/>
  <c r="F155" i="6"/>
  <c r="F21" i="6"/>
  <c r="H117" i="6" l="1"/>
  <c r="F131" i="6" l="1"/>
  <c r="G116" i="6" l="1"/>
  <c r="F116" i="6"/>
  <c r="G115" i="6"/>
  <c r="F115" i="6"/>
  <c r="G114" i="6"/>
  <c r="F114" i="6"/>
  <c r="F46" i="6"/>
  <c r="G46" i="6"/>
  <c r="F48" i="6"/>
  <c r="F119" i="6"/>
  <c r="F76" i="6"/>
  <c r="G113" i="6"/>
  <c r="F113" i="6"/>
  <c r="G112" i="6"/>
  <c r="F112" i="6"/>
  <c r="H114" i="6" l="1"/>
  <c r="H115" i="6"/>
  <c r="H116" i="6"/>
  <c r="H46" i="6"/>
  <c r="H113" i="6"/>
  <c r="H112" i="6"/>
  <c r="F14" i="6" l="1"/>
  <c r="F123" i="6" l="1"/>
  <c r="B2" i="6" l="1"/>
  <c r="N73" i="6" s="1"/>
  <c r="N67" i="6" l="1"/>
  <c r="N25" i="6"/>
  <c r="N15" i="6"/>
  <c r="N51" i="6"/>
  <c r="N99" i="6"/>
  <c r="N45" i="6"/>
  <c r="N86" i="6"/>
  <c r="N70" i="6"/>
  <c r="N27" i="6"/>
  <c r="N65" i="6"/>
  <c r="N84" i="6"/>
  <c r="N85" i="6"/>
  <c r="N50" i="6"/>
  <c r="N69" i="6"/>
  <c r="N42" i="6"/>
  <c r="N44" i="6"/>
  <c r="N12" i="6"/>
  <c r="N43" i="6"/>
  <c r="N102" i="6"/>
  <c r="N62" i="6"/>
  <c r="N83" i="6"/>
  <c r="N75" i="6"/>
  <c r="N94" i="6"/>
  <c r="N95" i="6"/>
  <c r="N80" i="6"/>
  <c r="N52" i="6"/>
  <c r="N78" i="6"/>
  <c r="N22" i="6"/>
  <c r="N89" i="6"/>
  <c r="N97" i="6"/>
  <c r="N24" i="6"/>
  <c r="N56" i="6"/>
  <c r="N26" i="6"/>
  <c r="N96" i="6"/>
  <c r="N100" i="6"/>
  <c r="N23" i="6"/>
  <c r="N39" i="6"/>
  <c r="N88" i="6"/>
  <c r="N36" i="6"/>
  <c r="N103" i="6"/>
  <c r="N28" i="6"/>
  <c r="N13" i="6"/>
  <c r="N90" i="6"/>
  <c r="N101" i="6"/>
  <c r="N58" i="6"/>
  <c r="N74" i="6"/>
  <c r="N60" i="6"/>
  <c r="N91" i="6"/>
  <c r="N11" i="6"/>
  <c r="N9" i="6"/>
  <c r="N16" i="6"/>
  <c r="N29" i="6"/>
  <c r="N40" i="6"/>
  <c r="N79" i="6"/>
  <c r="N57" i="6"/>
  <c r="N82" i="6"/>
  <c r="N53" i="6"/>
  <c r="N59" i="6"/>
  <c r="N93" i="6"/>
  <c r="N32" i="6"/>
  <c r="N31" i="6"/>
  <c r="N71" i="6"/>
  <c r="N19" i="6"/>
  <c r="N63" i="6"/>
  <c r="N72" i="6"/>
  <c r="N55" i="6"/>
  <c r="N87" i="6"/>
  <c r="N66" i="6"/>
  <c r="N98" i="6"/>
  <c r="N92" i="6"/>
  <c r="N54" i="6"/>
  <c r="N49" i="6"/>
  <c r="N17" i="6"/>
  <c r="N30" i="6"/>
  <c r="N68" i="6"/>
  <c r="N41" i="6"/>
  <c r="N64" i="6"/>
  <c r="N34" i="6"/>
  <c r="G64" i="6"/>
  <c r="H64" i="6" s="1"/>
  <c r="N20" i="6"/>
  <c r="N37" i="6"/>
  <c r="N61" i="6"/>
  <c r="G131" i="6"/>
  <c r="H131" i="6" s="1"/>
  <c r="N21" i="6"/>
  <c r="N48" i="6"/>
  <c r="N76" i="6"/>
  <c r="N14" i="6"/>
  <c r="G14" i="6" s="1"/>
  <c r="H14" i="6" s="1"/>
  <c r="N33" i="6"/>
  <c r="N18" i="6"/>
  <c r="G18" i="6" s="1"/>
  <c r="N35" i="6"/>
  <c r="N77" i="6"/>
  <c r="G126" i="6" l="1"/>
  <c r="G81" i="6"/>
  <c r="G77" i="6"/>
  <c r="G76" i="6"/>
  <c r="H76" i="6" s="1"/>
  <c r="G61" i="6"/>
  <c r="H61" i="6" s="1"/>
  <c r="G120" i="6"/>
  <c r="H120" i="6" s="1"/>
  <c r="G119" i="6"/>
  <c r="H119" i="6" s="1"/>
  <c r="G48" i="6"/>
  <c r="H48" i="6" s="1"/>
  <c r="G123" i="6"/>
  <c r="H123" i="6" s="1"/>
  <c r="G155" i="6"/>
  <c r="H155" i="6" s="1"/>
  <c r="G122" i="6"/>
  <c r="G37" i="6"/>
  <c r="H37" i="6" s="1"/>
  <c r="G35" i="6"/>
  <c r="G33" i="6"/>
  <c r="G21" i="6"/>
  <c r="H21" i="6" s="1"/>
  <c r="G20" i="6"/>
  <c r="H20" i="6" s="1"/>
  <c r="F126" i="6"/>
  <c r="F81" i="6"/>
  <c r="F77" i="6"/>
  <c r="F122" i="6"/>
  <c r="F38" i="6"/>
  <c r="F35" i="6"/>
  <c r="F33" i="6"/>
  <c r="F18" i="6"/>
  <c r="H126" i="6" l="1"/>
  <c r="H81" i="6"/>
  <c r="H77" i="6"/>
  <c r="H122" i="6"/>
  <c r="H38" i="6"/>
  <c r="H35" i="6"/>
  <c r="H33" i="6"/>
  <c r="H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K96" authorId="0" shapeId="0" xr:uid="{2FF5B467-9061-4C4F-A72D-FA38DB730D2B}">
      <text>
        <r>
          <rPr>
            <b/>
            <sz val="9"/>
            <color indexed="81"/>
            <rFont val="Tahoma"/>
            <family val="2"/>
          </rPr>
          <t xml:space="preserve">Cambia por capacitacion a contar del mes de : 
</t>
        </r>
        <r>
          <rPr>
            <b/>
            <i/>
            <sz val="12"/>
            <color indexed="10"/>
            <rFont val="Arial"/>
            <family val="2"/>
          </rPr>
          <t xml:space="preserve">
JUNIO 
2025</t>
        </r>
      </text>
    </comment>
    <comment ref="J102" authorId="0" shapeId="0" xr:uid="{027E9B7F-600D-4410-951E-5FE1BC783765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1"/>
            <color indexed="10"/>
            <rFont val="Tahoma"/>
            <family val="2"/>
          </rPr>
          <t>Trae nivel 8 desde la comuna de Huechuraba.</t>
        </r>
      </text>
    </comment>
    <comment ref="K107" authorId="0" shapeId="0" xr:uid="{B3579B71-9A04-4281-AA8A-E1372B82392B}">
      <text>
        <r>
          <rPr>
            <b/>
            <sz val="9"/>
            <color indexed="81"/>
            <rFont val="Tahoma"/>
            <family val="2"/>
          </rPr>
          <t xml:space="preserve">Cambia por capacitacion a contar del mes de : 
</t>
        </r>
        <r>
          <rPr>
            <b/>
            <i/>
            <sz val="12"/>
            <color indexed="10"/>
            <rFont val="Arial"/>
            <family val="2"/>
          </rPr>
          <t xml:space="preserve">
JUNIO 
2025</t>
        </r>
      </text>
    </comment>
    <comment ref="K135" authorId="0" shapeId="0" xr:uid="{7434DF99-0293-4730-9E52-2E1CF2F9A698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CAMBIA DE GRADO 15 A 14 POR RECONOCIMIENTO CAPACITACION INICIO DE LA CARRERA.</t>
        </r>
      </text>
    </comment>
  </commentList>
</comments>
</file>

<file path=xl/sharedStrings.xml><?xml version="1.0" encoding="utf-8"?>
<sst xmlns="http://schemas.openxmlformats.org/spreadsheetml/2006/main" count="585" uniqueCount="202">
  <si>
    <t>BIENIOS RECONOCIDOS</t>
  </si>
  <si>
    <t>PUNTAJE POR BIENIO</t>
  </si>
  <si>
    <t>FUNCIONARIO</t>
  </si>
  <si>
    <t>TOTAL</t>
  </si>
  <si>
    <t>FECHA REC.</t>
  </si>
  <si>
    <t xml:space="preserve">PUNTAJE </t>
  </si>
  <si>
    <t>CAPACITACION</t>
  </si>
  <si>
    <t>NIVEL DE LA CARRERA</t>
  </si>
  <si>
    <t>INGRESO</t>
  </si>
  <si>
    <t>CAT.</t>
  </si>
  <si>
    <t>SEPT.2014-AGOSTO2015</t>
  </si>
  <si>
    <t>FEC. PROX.RECONOC.</t>
  </si>
  <si>
    <t>DEPTO. DE SALUD</t>
  </si>
  <si>
    <t>E</t>
  </si>
  <si>
    <t>01.01.88</t>
  </si>
  <si>
    <t>B</t>
  </si>
  <si>
    <t>30 años</t>
  </si>
  <si>
    <t>BUSTAMANTE REYES BERTA</t>
  </si>
  <si>
    <t>A</t>
  </si>
  <si>
    <t>CALDERON ARRIAGADA EVELYN</t>
  </si>
  <si>
    <t>CIFUENTES ESPINOZA GENARO</t>
  </si>
  <si>
    <t>F</t>
  </si>
  <si>
    <t>FUENTES VALENZUELA CARLOS</t>
  </si>
  <si>
    <t xml:space="preserve">C </t>
  </si>
  <si>
    <t>GALLEGUILLOS ARANEDA LUIS</t>
  </si>
  <si>
    <t>GAVILAN DIAZ LUIS ALFREDO</t>
  </si>
  <si>
    <t>C</t>
  </si>
  <si>
    <t>GAVILAN REYES NATALIA</t>
  </si>
  <si>
    <t>ITURRIETA MUÑOZ CLAUDIA</t>
  </si>
  <si>
    <t>LAGOS ROSALES MARIA EUGENIA</t>
  </si>
  <si>
    <t>LUCERO ARDIZZONI PAMELA</t>
  </si>
  <si>
    <t>MADRID MARCHANT JEANNETTE</t>
  </si>
  <si>
    <t>MARTINEZ MERIDA JOSE LUIS</t>
  </si>
  <si>
    <t>PEREDO SANDOVAL NICOLAS</t>
  </si>
  <si>
    <t>PEREZ SALGADO MARIA CATALINA</t>
  </si>
  <si>
    <t>REBOLLEDO CORTES MONICA</t>
  </si>
  <si>
    <t>REBOLLEDO UYARTE SANDRA</t>
  </si>
  <si>
    <t>01/072014</t>
  </si>
  <si>
    <t>01.01.09</t>
  </si>
  <si>
    <t>01.02.2009</t>
  </si>
  <si>
    <t>PUNTAJE X BIENIOS</t>
  </si>
  <si>
    <t>PUNTAJE CAPACITACION REC.</t>
  </si>
  <si>
    <t>BALMACEDA OVALLE SANDRA</t>
  </si>
  <si>
    <t>VIDAL VILLEGAS ADUAN ALEJANDRO</t>
  </si>
  <si>
    <t>HINOJOSA GONZALEZ GINA</t>
  </si>
  <si>
    <t>SEPT.2015-AGOSTO2016</t>
  </si>
  <si>
    <t>SEPT.2016-AGOSTO 2017</t>
  </si>
  <si>
    <t>BAJAS SALUD</t>
  </si>
  <si>
    <t>SEPT.2017-AGOSTO 2018</t>
  </si>
  <si>
    <t>ALVAREZ CASTILLO NICOLAS</t>
  </si>
  <si>
    <t>01.03.09</t>
  </si>
  <si>
    <t>CARRERA STEGMAN INGRID</t>
  </si>
  <si>
    <t>GONZALEZ NUÑEZ JUDITH</t>
  </si>
  <si>
    <t>MUÑOZ CELIS RICARDO</t>
  </si>
  <si>
    <t>TORRES VALENZUELA YESSICA</t>
  </si>
  <si>
    <t>MAUREIRA MAUREIRA MARIA JOSE</t>
  </si>
  <si>
    <t>CARRASCO VALENZUELA CAROLA</t>
  </si>
  <si>
    <t>16.10.06</t>
  </si>
  <si>
    <t>GARCIA VELIZ MARGARITA</t>
  </si>
  <si>
    <t>NUÑEZ GAONA VALENTINA</t>
  </si>
  <si>
    <t>SEPT.2018-AGOSTO 2019</t>
  </si>
  <si>
    <t>EXEDENTE</t>
  </si>
  <si>
    <t>RECONOCIDA</t>
  </si>
  <si>
    <t>CIFUENTES MORALES PATRICIA</t>
  </si>
  <si>
    <t>FRES CANALES ROLENA</t>
  </si>
  <si>
    <t>28.01.13</t>
  </si>
  <si>
    <t>GORIGOITIA VERA PAOLA CAROLINA</t>
  </si>
  <si>
    <t>RECONOCIDO</t>
  </si>
  <si>
    <t>TAPIA GALLARDO MANUEL</t>
  </si>
  <si>
    <t>SE PAGA NIVEL 2</t>
  </si>
  <si>
    <t xml:space="preserve">DECRETO EN TRAMITE </t>
  </si>
  <si>
    <t>JORQUERA RIVEROS CAROLA A.</t>
  </si>
  <si>
    <t>OLIVA NAVARRETE KAREN ROSA</t>
  </si>
  <si>
    <t>PASIVADO</t>
  </si>
  <si>
    <t>ENERO-JUNIO 2020</t>
  </si>
  <si>
    <t>JULIO-DIC.2020</t>
  </si>
  <si>
    <t>REBOLLEDO CORTES KARLA</t>
  </si>
  <si>
    <t>CAMBIA X CAPACITACION</t>
  </si>
  <si>
    <t>FERNANDEZ ZUAZUA MARIA IGNACIA</t>
  </si>
  <si>
    <t>21.11.05</t>
  </si>
  <si>
    <t>ENERO-JUNIO 2021</t>
  </si>
  <si>
    <t>VALDIVIA LUCAVECHE FABIAN</t>
  </si>
  <si>
    <t>FUENTES MIRANDA JORGE GABRIEL</t>
  </si>
  <si>
    <t>GARCIA BALAGUERO OSCAR</t>
  </si>
  <si>
    <t>JULIO-DICIEMBRE 2021</t>
  </si>
  <si>
    <t>LUZARDO PUCHE MAIRA E.</t>
  </si>
  <si>
    <t>CALDERON ACOSTA NICOLAS DAVID</t>
  </si>
  <si>
    <t>SOLIS ZAPATA MACARENA</t>
  </si>
  <si>
    <t>01.03.2011</t>
  </si>
  <si>
    <t>MONTALVA HERNANDEZ GONZALO</t>
  </si>
  <si>
    <t>VERA SALDIVIA CLARIBEL</t>
  </si>
  <si>
    <t>ROJAS NUÑEZ PABLO ABELARDO</t>
  </si>
  <si>
    <t>ENERO- JUNIO</t>
  </si>
  <si>
    <t>JULIO-DICIEMBRE</t>
  </si>
  <si>
    <t>OCHOA GUEVARA FELIPE ANTONIO</t>
  </si>
  <si>
    <t>OCHOA GUEVARA FELIPE A.</t>
  </si>
  <si>
    <t>BARRIENTOS IBAÑEZ REBECA A.</t>
  </si>
  <si>
    <t>CID HERNANDEZ YOCELYN ISABEL</t>
  </si>
  <si>
    <t>GUTIERREZ MARTINEZ PEDRO J.</t>
  </si>
  <si>
    <t>MONTALVA RETAMAL FRANCISCA</t>
  </si>
  <si>
    <t>NAVARRO ORTEGA MICHEL A.</t>
  </si>
  <si>
    <t>OYARCE SEGUEL PAOLA ADRIANA</t>
  </si>
  <si>
    <t>OYARCE SEGUEL PAOLA A.</t>
  </si>
  <si>
    <t>QUILODRAN LUEIZA RACHEL M.</t>
  </si>
  <si>
    <t>JORDAN POLIT MARIA CLAUDIA</t>
  </si>
  <si>
    <t>OVALLE ROJAS MARIA DE LOS A.</t>
  </si>
  <si>
    <t>CARRASCO GUZMAN YASNA</t>
  </si>
  <si>
    <t>FUENTES SAEZ NICOLE FERNANDA</t>
  </si>
  <si>
    <t>MORETTI MEDINA MARIA JOSE</t>
  </si>
  <si>
    <t>TAPIA MASSEI JUDITH PATRICIA</t>
  </si>
  <si>
    <t>REY HERRERA HUMBERTO</t>
  </si>
  <si>
    <t>MIRANDA AGUILERA JAVIERA P.</t>
  </si>
  <si>
    <t>QUIÑONES BULNES ESTRELLA C.</t>
  </si>
  <si>
    <t>OLIVA NAVARRETE KAREN R.</t>
  </si>
  <si>
    <t>MORALES HAZIN VERONICA A.</t>
  </si>
  <si>
    <t>GONZALEZ DUQUE MARIANGEL</t>
  </si>
  <si>
    <t>FAJARDO OLMEDO BLANCA E.</t>
  </si>
  <si>
    <t>ABARCA GONZALEZ ALBA</t>
  </si>
  <si>
    <t>BARRY VALENCIA DANIELA F.</t>
  </si>
  <si>
    <t>BLANCO JASPE LORENA YETZABETH</t>
  </si>
  <si>
    <t>ALVAREZ  ARENAS PAULA</t>
  </si>
  <si>
    <t>06.10.2015</t>
  </si>
  <si>
    <t xml:space="preserve">MORALES MALDONADO MARIA </t>
  </si>
  <si>
    <t>VIVOLO SULBARAN ANTHONY</t>
  </si>
  <si>
    <t>PLAZA GALLEGOS JUAN ARTURO</t>
  </si>
  <si>
    <t>SERRANO BUSTOS ERIKA</t>
  </si>
  <si>
    <t>MOSCOSO GOMEZ JONATHAN A.</t>
  </si>
  <si>
    <t>MOYA ZUÑIGA JAVIERA PAZ</t>
  </si>
  <si>
    <t>PUELLES MARTINEZ MARIANELA</t>
  </si>
  <si>
    <t>CIENFUEGOS ESPINOZA CARLOS</t>
  </si>
  <si>
    <t>MEZA VASQUEZ LUIS EMILIO</t>
  </si>
  <si>
    <t xml:space="preserve"> REC.CAP.INICIO CARRERA</t>
  </si>
  <si>
    <t>DELGADO JIMENEZ IAN</t>
  </si>
  <si>
    <t>DELAGADO JIMENEZ IAN</t>
  </si>
  <si>
    <t>SAN MARTIN ALVAREZ PAULO</t>
  </si>
  <si>
    <t xml:space="preserve">E </t>
  </si>
  <si>
    <t>07.04.00</t>
  </si>
  <si>
    <t>ETCHEBERRY ALARCON LUIS JAVIER</t>
  </si>
  <si>
    <t>AYALA LOPEZ VALERIA</t>
  </si>
  <si>
    <t>GAMBOA GAMBOA LAURA A.</t>
  </si>
  <si>
    <t>ZUÑIGA PEREZ JAIME ISMAEL</t>
  </si>
  <si>
    <t>ARCE MARTINEZ BASTIAN ALBERTO</t>
  </si>
  <si>
    <t>SALAS ABARCA FELIPE ALEXIS</t>
  </si>
  <si>
    <t>SEPTIEMBRE-DICIEMBRE</t>
  </si>
  <si>
    <t>ENERO-AGOSTO</t>
  </si>
  <si>
    <t>JULIO-AGOSTO</t>
  </si>
  <si>
    <t>FERNANDEZ FERNANDEZ CARLOS</t>
  </si>
  <si>
    <t>COLLAO DIAZ ALEJANDRO D.</t>
  </si>
  <si>
    <t>MILANESI BADILLA FERNANDA</t>
  </si>
  <si>
    <t>VERGARA MORALES JUAN CARLOS</t>
  </si>
  <si>
    <t>GONZALEZ CONTRERAS MARIANO</t>
  </si>
  <si>
    <t xml:space="preserve">SANCHEZ CASTILLO JAIME </t>
  </si>
  <si>
    <t>SANCHEZ CASTILLO JAIME</t>
  </si>
  <si>
    <t>VELIZ BUSTAMENTE CAMILA</t>
  </si>
  <si>
    <t>VELIZ BUSTAMANTE CAMILA</t>
  </si>
  <si>
    <t xml:space="preserve">VILLARREAL SEGUEL PAUL </t>
  </si>
  <si>
    <t>VILLARREAL SEGUEL PAUL</t>
  </si>
  <si>
    <t>DAVINSON SEVERINO NICOLE</t>
  </si>
  <si>
    <t>CONTRERAS ESPINA VALERIA</t>
  </si>
  <si>
    <t>MONTECINOS HORMAZABAL CHRISTOPER A.</t>
  </si>
  <si>
    <t>VERA GONZALEZ WILMER</t>
  </si>
  <si>
    <t>BRAVO VALENZUELA SANDRA V.</t>
  </si>
  <si>
    <t>CARVAJAL IBARRA DAVID B.</t>
  </si>
  <si>
    <t>MONTECINOS HORMAZABAL CHRISTOFER A.</t>
  </si>
  <si>
    <t>SALAS CONTRERAS SAMUEL E.</t>
  </si>
  <si>
    <t xml:space="preserve">VIDAL SALAZAR VERONICA </t>
  </si>
  <si>
    <t>REEMPLAZO</t>
  </si>
  <si>
    <t>CARPIO BLANCO ADRIAN MIGUEL</t>
  </si>
  <si>
    <t>GATICA DIAZ VAITIARE GENESIS</t>
  </si>
  <si>
    <t>PIZARRO BIESE MARCO ALEJANDRO</t>
  </si>
  <si>
    <t>MANRIQUEZ LOOR ANA</t>
  </si>
  <si>
    <t>REBOLLEDO CORTES JESSICA</t>
  </si>
  <si>
    <t>MESAS VERGARA VALENTINA</t>
  </si>
  <si>
    <t>VALDEBENITO SANTIBAÑEZ ELIAN</t>
  </si>
  <si>
    <t>VALENZUELA BARRERA MARIBEL</t>
  </si>
  <si>
    <t>PERALTA MARTINEZ NICOLE</t>
  </si>
  <si>
    <t>ABARZA MARTINEZ CAMILA</t>
  </si>
  <si>
    <t>MUÑOZ REYES MAURICIO</t>
  </si>
  <si>
    <t>REYES POZO FRANCISCO JAVIER</t>
  </si>
  <si>
    <t>IBAÑEZ PEÑA CONSTANZA CAMILA</t>
  </si>
  <si>
    <t>ZUÑIGA CAMBLOR MARIA M.</t>
  </si>
  <si>
    <t>ARENAS LEAL CARIAGNE</t>
  </si>
  <si>
    <t>HERNANDEZ CASTRO ANDREA P.</t>
  </si>
  <si>
    <t>JARA PACHECO JORGE IGNACIO</t>
  </si>
  <si>
    <t>MADRID SUAREZ CATALINA</t>
  </si>
  <si>
    <t>OLMOS RETAMAL MARIA FERNANDA</t>
  </si>
  <si>
    <t>RIOSECO PONCE NICOL</t>
  </si>
  <si>
    <t>ROCO MORALES JUAN BAUTISTA</t>
  </si>
  <si>
    <t>DIAZ BENITEZ TAMARA</t>
  </si>
  <si>
    <t>DURAN HUITRAÑAN PABLO</t>
  </si>
  <si>
    <t>LEIVA LEIVA IVAN</t>
  </si>
  <si>
    <t>OCARANZA TOLOZA GERALDINE</t>
  </si>
  <si>
    <t>OPAZO SOTO KARINA</t>
  </si>
  <si>
    <t>PAINEQUEO OSORIO ISIDORA</t>
  </si>
  <si>
    <t>ROJAS DEL PINO JAVIERA</t>
  </si>
  <si>
    <t>VILCHES GONZALEZ MARIA EUGENIA</t>
  </si>
  <si>
    <t>JOFRE ESCOBAR NICOLE ARACELY</t>
  </si>
  <si>
    <t>BARRERA ALEGRIA NATALIA</t>
  </si>
  <si>
    <t>MENDOZA DIAZ PAULA ALEJANDRA</t>
  </si>
  <si>
    <t>OLGUIN BURGOS CESAR ANTONIO</t>
  </si>
  <si>
    <t>CORNEJO ESPINOZA CAMILA</t>
  </si>
  <si>
    <t>PAINEN PRANAO 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</si>
</sst>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"/>
  </numFmts>
  <fonts count="3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name val="Arial Black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 Black"/>
      <family val="2"/>
    </font>
    <font>
      <b/>
      <sz val="12"/>
      <color rgb="FF002060"/>
      <name val="Arial Black"/>
      <family val="2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002060"/>
      <name val="Arial"/>
      <family val="2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002060"/>
      <name val="Arial Rounded MT Bold"/>
      <family val="2"/>
    </font>
    <font>
      <b/>
      <sz val="14"/>
      <color rgb="FF002060"/>
      <name val="Arial Black"/>
      <family val="2"/>
    </font>
    <font>
      <b/>
      <sz val="11"/>
      <color rgb="FFFF0000"/>
      <name val="Cambria"/>
      <family val="1"/>
      <scheme val="major"/>
    </font>
    <font>
      <b/>
      <sz val="14"/>
      <color rgb="FFFF0000"/>
      <name val="Arial Black"/>
      <family val="2"/>
    </font>
    <font>
      <b/>
      <sz val="14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i/>
      <sz val="12"/>
      <color indexed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 Black"/>
      <family val="2"/>
    </font>
    <font>
      <b/>
      <sz val="16"/>
      <color rgb="FF002060"/>
      <name val="Stencil"/>
      <family val="5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Berlin Sans FB"/>
      <family val="2"/>
    </font>
    <font>
      <b/>
      <sz val="11"/>
      <color theme="0"/>
      <name val="Aharoni"/>
      <charset val="177"/>
    </font>
    <font>
      <b/>
      <sz val="16"/>
      <color rgb="FFFF0000"/>
      <name val="Arial Black"/>
      <family val="2"/>
    </font>
    <font>
      <b/>
      <sz val="11"/>
      <color rgb="FFFF0000"/>
      <name val="Aharoni"/>
      <charset val="177"/>
    </font>
    <font>
      <b/>
      <i/>
      <sz val="11"/>
      <color indexed="10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19">
    <xf numFmtId="0" fontId="0" fillId="0" borderId="0" xfId="0"/>
    <xf numFmtId="0" fontId="5" fillId="3" borderId="1" xfId="1" applyFill="1" applyBorder="1"/>
    <xf numFmtId="14" fontId="5" fillId="3" borderId="1" xfId="1" applyNumberFormat="1" applyFill="1" applyBorder="1"/>
    <xf numFmtId="0" fontId="7" fillId="3" borderId="1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0" xfId="0" applyFill="1"/>
    <xf numFmtId="0" fontId="6" fillId="3" borderId="1" xfId="1" applyFont="1" applyFill="1" applyBorder="1"/>
    <xf numFmtId="14" fontId="6" fillId="3" borderId="1" xfId="1" applyNumberFormat="1" applyFont="1" applyFill="1" applyBorder="1"/>
    <xf numFmtId="0" fontId="9" fillId="0" borderId="0" xfId="0" applyFont="1"/>
    <xf numFmtId="0" fontId="5" fillId="5" borderId="1" xfId="1" applyFill="1" applyBorder="1"/>
    <xf numFmtId="0" fontId="1" fillId="5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6" fillId="5" borderId="1" xfId="1" applyFont="1" applyFill="1" applyBorder="1"/>
    <xf numFmtId="0" fontId="2" fillId="4" borderId="1" xfId="0" applyFont="1" applyFill="1" applyBorder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165" fontId="2" fillId="5" borderId="1" xfId="0" applyNumberFormat="1" applyFont="1" applyFill="1" applyBorder="1"/>
    <xf numFmtId="0" fontId="2" fillId="5" borderId="1" xfId="0" applyFont="1" applyFill="1" applyBorder="1"/>
    <xf numFmtId="0" fontId="1" fillId="9" borderId="2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4" fontId="1" fillId="6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2" fontId="8" fillId="3" borderId="1" xfId="0" applyNumberFormat="1" applyFont="1" applyFill="1" applyBorder="1"/>
    <xf numFmtId="0" fontId="12" fillId="3" borderId="0" xfId="0" applyFont="1" applyFill="1"/>
    <xf numFmtId="164" fontId="11" fillId="3" borderId="1" xfId="1" applyNumberFormat="1" applyFont="1" applyFill="1" applyBorder="1"/>
    <xf numFmtId="14" fontId="11" fillId="3" borderId="1" xfId="1" applyNumberFormat="1" applyFont="1" applyFill="1" applyBorder="1" applyAlignment="1">
      <alignment horizontal="right"/>
    </xf>
    <xf numFmtId="0" fontId="15" fillId="6" borderId="1" xfId="0" applyFont="1" applyFill="1" applyBorder="1"/>
    <xf numFmtId="14" fontId="16" fillId="6" borderId="1" xfId="0" applyNumberFormat="1" applyFont="1" applyFill="1" applyBorder="1" applyAlignment="1">
      <alignment horizontal="center"/>
    </xf>
    <xf numFmtId="0" fontId="17" fillId="6" borderId="1" xfId="0" applyFont="1" applyFill="1" applyBorder="1"/>
    <xf numFmtId="0" fontId="18" fillId="6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0" xfId="0" applyFont="1" applyFill="1"/>
    <xf numFmtId="14" fontId="11" fillId="3" borderId="6" xfId="1" applyNumberFormat="1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164" fontId="11" fillId="3" borderId="1" xfId="1" applyNumberFormat="1" applyFont="1" applyFill="1" applyBorder="1" applyAlignment="1">
      <alignment horizontal="right"/>
    </xf>
    <xf numFmtId="0" fontId="10" fillId="9" borderId="2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4" fontId="2" fillId="4" borderId="1" xfId="0" applyNumberFormat="1" applyFont="1" applyFill="1" applyBorder="1"/>
    <xf numFmtId="165" fontId="2" fillId="4" borderId="1" xfId="0" applyNumberFormat="1" applyFont="1" applyFill="1" applyBorder="1"/>
    <xf numFmtId="0" fontId="25" fillId="3" borderId="2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0" fontId="1" fillId="12" borderId="2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165" fontId="1" fillId="3" borderId="5" xfId="0" applyNumberFormat="1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5" fillId="13" borderId="1" xfId="1" applyFill="1" applyBorder="1"/>
    <xf numFmtId="0" fontId="7" fillId="13" borderId="1" xfId="1" applyFont="1" applyFill="1" applyBorder="1" applyAlignment="1">
      <alignment horizontal="center"/>
    </xf>
    <xf numFmtId="14" fontId="5" fillId="13" borderId="1" xfId="1" applyNumberFormat="1" applyFill="1" applyBorder="1"/>
    <xf numFmtId="0" fontId="3" fillId="13" borderId="1" xfId="0" applyFont="1" applyFill="1" applyBorder="1" applyAlignment="1">
      <alignment horizontal="center"/>
    </xf>
    <xf numFmtId="2" fontId="8" fillId="13" borderId="1" xfId="0" applyNumberFormat="1" applyFont="1" applyFill="1" applyBorder="1"/>
    <xf numFmtId="0" fontId="26" fillId="13" borderId="1" xfId="0" applyFont="1" applyFill="1" applyBorder="1" applyAlignment="1">
      <alignment horizontal="center"/>
    </xf>
    <xf numFmtId="14" fontId="11" fillId="13" borderId="1" xfId="1" applyNumberFormat="1" applyFont="1" applyFill="1" applyBorder="1" applyAlignment="1">
      <alignment horizontal="right"/>
    </xf>
    <xf numFmtId="0" fontId="12" fillId="13" borderId="0" xfId="0" applyFont="1" applyFill="1"/>
    <xf numFmtId="0" fontId="13" fillId="1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14" fontId="6" fillId="13" borderId="1" xfId="1" applyNumberFormat="1" applyFont="1" applyFill="1" applyBorder="1"/>
    <xf numFmtId="164" fontId="24" fillId="13" borderId="1" xfId="1" applyNumberFormat="1" applyFont="1" applyFill="1" applyBorder="1" applyAlignment="1">
      <alignment horizontal="right"/>
    </xf>
    <xf numFmtId="0" fontId="0" fillId="13" borderId="0" xfId="0" applyFill="1"/>
    <xf numFmtId="0" fontId="5" fillId="14" borderId="1" xfId="1" applyFill="1" applyBorder="1"/>
    <xf numFmtId="0" fontId="7" fillId="14" borderId="1" xfId="1" applyFont="1" applyFill="1" applyBorder="1" applyAlignment="1">
      <alignment horizontal="center"/>
    </xf>
    <xf numFmtId="14" fontId="5" fillId="14" borderId="1" xfId="1" applyNumberFormat="1" applyFill="1" applyBorder="1"/>
    <xf numFmtId="0" fontId="3" fillId="14" borderId="1" xfId="0" applyFont="1" applyFill="1" applyBorder="1" applyAlignment="1">
      <alignment horizontal="center"/>
    </xf>
    <xf numFmtId="165" fontId="3" fillId="14" borderId="1" xfId="0" applyNumberFormat="1" applyFont="1" applyFill="1" applyBorder="1" applyAlignment="1">
      <alignment horizontal="center"/>
    </xf>
    <xf numFmtId="2" fontId="8" fillId="14" borderId="1" xfId="0" applyNumberFormat="1" applyFont="1" applyFill="1" applyBorder="1"/>
    <xf numFmtId="14" fontId="11" fillId="14" borderId="1" xfId="1" applyNumberFormat="1" applyFont="1" applyFill="1" applyBorder="1" applyAlignment="1">
      <alignment horizontal="right"/>
    </xf>
    <xf numFmtId="0" fontId="12" fillId="14" borderId="0" xfId="0" applyFont="1" applyFill="1"/>
    <xf numFmtId="0" fontId="14" fillId="14" borderId="1" xfId="1" applyFont="1" applyFill="1" applyBorder="1" applyAlignment="1">
      <alignment horizontal="right"/>
    </xf>
    <xf numFmtId="0" fontId="6" fillId="14" borderId="1" xfId="1" applyFont="1" applyFill="1" applyBorder="1"/>
    <xf numFmtId="0" fontId="26" fillId="14" borderId="1" xfId="0" applyFont="1" applyFill="1" applyBorder="1" applyAlignment="1">
      <alignment horizontal="center"/>
    </xf>
    <xf numFmtId="164" fontId="11" fillId="13" borderId="1" xfId="1" applyNumberFormat="1" applyFont="1" applyFill="1" applyBorder="1" applyAlignment="1">
      <alignment horizontal="right"/>
    </xf>
    <xf numFmtId="3" fontId="3" fillId="13" borderId="1" xfId="0" applyNumberFormat="1" applyFont="1" applyFill="1" applyBorder="1" applyAlignment="1">
      <alignment horizontal="center"/>
    </xf>
    <xf numFmtId="0" fontId="5" fillId="3" borderId="7" xfId="1" applyFill="1" applyBorder="1"/>
    <xf numFmtId="0" fontId="1" fillId="3" borderId="8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5" fillId="11" borderId="2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30" fillId="3" borderId="0" xfId="0" applyFont="1" applyFill="1"/>
    <xf numFmtId="0" fontId="25" fillId="2" borderId="3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4" fontId="2" fillId="9" borderId="1" xfId="0" applyNumberFormat="1" applyFont="1" applyFill="1" applyBorder="1"/>
    <xf numFmtId="0" fontId="1" fillId="2" borderId="8" xfId="0" applyFont="1" applyFill="1" applyBorder="1" applyAlignment="1">
      <alignment horizontal="center"/>
    </xf>
    <xf numFmtId="0" fontId="12" fillId="15" borderId="0" xfId="0" applyFont="1" applyFill="1"/>
    <xf numFmtId="0" fontId="13" fillId="15" borderId="0" xfId="0" applyFont="1" applyFill="1" applyAlignment="1">
      <alignment horizontal="center"/>
    </xf>
    <xf numFmtId="0" fontId="5" fillId="15" borderId="1" xfId="1" applyFill="1" applyBorder="1"/>
    <xf numFmtId="0" fontId="7" fillId="15" borderId="1" xfId="1" applyFont="1" applyFill="1" applyBorder="1" applyAlignment="1">
      <alignment horizontal="center"/>
    </xf>
    <xf numFmtId="14" fontId="5" fillId="15" borderId="1" xfId="1" applyNumberFormat="1" applyFill="1" applyBorder="1"/>
    <xf numFmtId="3" fontId="3" fillId="15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2" fontId="8" fillId="15" borderId="1" xfId="0" applyNumberFormat="1" applyFont="1" applyFill="1" applyBorder="1"/>
    <xf numFmtId="0" fontId="26" fillId="15" borderId="1" xfId="0" applyFont="1" applyFill="1" applyBorder="1" applyAlignment="1">
      <alignment horizontal="center"/>
    </xf>
    <xf numFmtId="14" fontId="11" fillId="15" borderId="1" xfId="1" applyNumberFormat="1" applyFont="1" applyFill="1" applyBorder="1" applyAlignment="1">
      <alignment horizontal="right"/>
    </xf>
    <xf numFmtId="0" fontId="25" fillId="5" borderId="2" xfId="0" applyFont="1" applyFill="1" applyBorder="1" applyAlignment="1">
      <alignment horizontal="center"/>
    </xf>
    <xf numFmtId="14" fontId="6" fillId="15" borderId="1" xfId="1" applyNumberFormat="1" applyFont="1" applyFill="1" applyBorder="1"/>
    <xf numFmtId="164" fontId="11" fillId="15" borderId="1" xfId="1" applyNumberFormat="1" applyFont="1" applyFill="1" applyBorder="1" applyAlignment="1">
      <alignment horizontal="right"/>
    </xf>
    <xf numFmtId="14" fontId="11" fillId="15" borderId="1" xfId="1" applyNumberFormat="1" applyFont="1" applyFill="1" applyBorder="1"/>
    <xf numFmtId="164" fontId="24" fillId="15" borderId="1" xfId="1" applyNumberFormat="1" applyFont="1" applyFill="1" applyBorder="1" applyAlignment="1">
      <alignment horizontal="right"/>
    </xf>
    <xf numFmtId="0" fontId="0" fillId="15" borderId="0" xfId="0" applyFill="1"/>
    <xf numFmtId="0" fontId="19" fillId="3" borderId="0" xfId="0" applyFont="1" applyFill="1"/>
    <xf numFmtId="14" fontId="11" fillId="3" borderId="1" xfId="1" applyNumberFormat="1" applyFont="1" applyFill="1" applyBorder="1"/>
    <xf numFmtId="165" fontId="3" fillId="15" borderId="1" xfId="0" applyNumberFormat="1" applyFont="1" applyFill="1" applyBorder="1" applyAlignment="1">
      <alignment horizontal="center"/>
    </xf>
    <xf numFmtId="0" fontId="6" fillId="15" borderId="1" xfId="1" applyFont="1" applyFill="1" applyBorder="1"/>
    <xf numFmtId="0" fontId="31" fillId="2" borderId="0" xfId="0" applyFont="1" applyFill="1"/>
    <xf numFmtId="0" fontId="20" fillId="16" borderId="2" xfId="0" applyFont="1" applyFill="1" applyBorder="1" applyAlignment="1">
      <alignment horizontal="center"/>
    </xf>
    <xf numFmtId="0" fontId="1" fillId="16" borderId="3" xfId="0" applyFont="1" applyFill="1" applyBorder="1" applyAlignment="1">
      <alignment horizontal="center"/>
    </xf>
    <xf numFmtId="0" fontId="1" fillId="16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4" fontId="33" fillId="13" borderId="1" xfId="0" applyNumberFormat="1" applyFont="1" applyFill="1" applyBorder="1"/>
    <xf numFmtId="165" fontId="3" fillId="3" borderId="1" xfId="0" applyNumberFormat="1" applyFont="1" applyFill="1" applyBorder="1" applyAlignment="1">
      <alignment horizontal="center"/>
    </xf>
    <xf numFmtId="0" fontId="31" fillId="3" borderId="0" xfId="0" applyFont="1" applyFill="1"/>
    <xf numFmtId="0" fontId="34" fillId="0" borderId="0" xfId="0" applyFont="1"/>
    <xf numFmtId="0" fontId="1" fillId="13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13" borderId="1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5" fillId="17" borderId="1" xfId="1" applyFill="1" applyBorder="1"/>
    <xf numFmtId="0" fontId="7" fillId="17" borderId="1" xfId="1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2" fontId="8" fillId="17" borderId="1" xfId="0" applyNumberFormat="1" applyFont="1" applyFill="1" applyBorder="1"/>
    <xf numFmtId="0" fontId="26" fillId="17" borderId="1" xfId="0" applyFont="1" applyFill="1" applyBorder="1" applyAlignment="1">
      <alignment horizontal="center"/>
    </xf>
    <xf numFmtId="164" fontId="11" fillId="17" borderId="1" xfId="1" applyNumberFormat="1" applyFont="1" applyFill="1" applyBorder="1" applyAlignment="1">
      <alignment horizontal="right"/>
    </xf>
    <xf numFmtId="0" fontId="12" fillId="17" borderId="0" xfId="0" applyFont="1" applyFill="1"/>
    <xf numFmtId="0" fontId="13" fillId="17" borderId="0" xfId="0" applyFont="1" applyFill="1" applyAlignment="1">
      <alignment horizontal="center"/>
    </xf>
    <xf numFmtId="14" fontId="5" fillId="17" borderId="1" xfId="1" applyNumberFormat="1" applyFill="1" applyBorder="1"/>
    <xf numFmtId="14" fontId="11" fillId="17" borderId="1" xfId="1" applyNumberFormat="1" applyFont="1" applyFill="1" applyBorder="1" applyAlignment="1">
      <alignment horizontal="right"/>
    </xf>
    <xf numFmtId="164" fontId="24" fillId="17" borderId="1" xfId="1" applyNumberFormat="1" applyFont="1" applyFill="1" applyBorder="1" applyAlignment="1">
      <alignment horizontal="right"/>
    </xf>
    <xf numFmtId="0" fontId="0" fillId="17" borderId="0" xfId="0" applyFill="1"/>
    <xf numFmtId="3" fontId="3" fillId="17" borderId="1" xfId="0" applyNumberFormat="1" applyFont="1" applyFill="1" applyBorder="1" applyAlignment="1">
      <alignment horizontal="center"/>
    </xf>
    <xf numFmtId="4" fontId="33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14" fontId="6" fillId="17" borderId="1" xfId="1" applyNumberFormat="1" applyFont="1" applyFill="1" applyBorder="1"/>
    <xf numFmtId="0" fontId="25" fillId="12" borderId="2" xfId="0" applyFont="1" applyFill="1" applyBorder="1" applyAlignment="1">
      <alignment horizontal="center"/>
    </xf>
    <xf numFmtId="0" fontId="20" fillId="12" borderId="2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0" fillId="2" borderId="0" xfId="0" applyFill="1"/>
    <xf numFmtId="0" fontId="13" fillId="2" borderId="0" xfId="0" applyFont="1" applyFill="1" applyAlignment="1">
      <alignment horizontal="center"/>
    </xf>
    <xf numFmtId="0" fontId="5" fillId="2" borderId="1" xfId="1" applyFill="1" applyBorder="1"/>
    <xf numFmtId="0" fontId="7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8" fillId="2" borderId="1" xfId="0" applyNumberFormat="1" applyFont="1" applyFill="1" applyBorder="1"/>
    <xf numFmtId="0" fontId="26" fillId="2" borderId="1" xfId="0" applyFont="1" applyFill="1" applyBorder="1" applyAlignment="1">
      <alignment horizontal="center"/>
    </xf>
    <xf numFmtId="14" fontId="6" fillId="2" borderId="1" xfId="1" applyNumberFormat="1" applyFont="1" applyFill="1" applyBorder="1"/>
    <xf numFmtId="0" fontId="1" fillId="2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164" fontId="24" fillId="3" borderId="1" xfId="1" applyNumberFormat="1" applyFont="1" applyFill="1" applyBorder="1" applyAlignment="1">
      <alignment horizontal="right"/>
    </xf>
    <xf numFmtId="14" fontId="5" fillId="2" borderId="1" xfId="1" applyNumberFormat="1" applyFill="1" applyBorder="1"/>
    <xf numFmtId="0" fontId="32" fillId="18" borderId="0" xfId="0" applyFont="1" applyFill="1" applyAlignment="1">
      <alignment horizontal="center"/>
    </xf>
    <xf numFmtId="0" fontId="1" fillId="14" borderId="2" xfId="0" applyFont="1" applyFill="1" applyBorder="1" applyAlignment="1">
      <alignment horizontal="center"/>
    </xf>
    <xf numFmtId="4" fontId="33" fillId="14" borderId="1" xfId="0" applyNumberFormat="1" applyFont="1" applyFill="1" applyBorder="1"/>
    <xf numFmtId="165" fontId="33" fillId="14" borderId="1" xfId="0" applyNumberFormat="1" applyFont="1" applyFill="1" applyBorder="1"/>
    <xf numFmtId="0" fontId="33" fillId="14" borderId="1" xfId="0" applyFont="1" applyFill="1" applyBorder="1"/>
    <xf numFmtId="0" fontId="1" fillId="14" borderId="3" xfId="0" applyFont="1" applyFill="1" applyBorder="1" applyAlignment="1">
      <alignment horizontal="center"/>
    </xf>
    <xf numFmtId="4" fontId="33" fillId="14" borderId="7" xfId="0" applyNumberFormat="1" applyFont="1" applyFill="1" applyBorder="1"/>
    <xf numFmtId="0" fontId="1" fillId="14" borderId="1" xfId="0" applyFont="1" applyFill="1" applyBorder="1" applyAlignment="1">
      <alignment horizontal="center"/>
    </xf>
    <xf numFmtId="0" fontId="1" fillId="14" borderId="10" xfId="0" applyFont="1" applyFill="1" applyBorder="1" applyAlignment="1">
      <alignment horizontal="center"/>
    </xf>
    <xf numFmtId="4" fontId="33" fillId="14" borderId="9" xfId="0" applyNumberFormat="1" applyFont="1" applyFill="1" applyBorder="1"/>
    <xf numFmtId="165" fontId="3" fillId="17" borderId="1" xfId="0" applyNumberFormat="1" applyFont="1" applyFill="1" applyBorder="1" applyAlignment="1">
      <alignment horizontal="center"/>
    </xf>
    <xf numFmtId="14" fontId="11" fillId="2" borderId="1" xfId="1" applyNumberFormat="1" applyFont="1" applyFill="1" applyBorder="1" applyAlignment="1">
      <alignment horizontal="right"/>
    </xf>
    <xf numFmtId="0" fontId="12" fillId="2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2060"/>
    <pageSetUpPr fitToPage="1"/>
  </sheetPr>
  <dimension ref="A1:BC155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D6" sqref="D6"/>
    </sheetView>
  </sheetViews>
  <sheetFormatPr baseColWidth="10" defaultRowHeight="14.4" x14ac:dyDescent="0.3"/>
  <cols>
    <col min="1" max="1" width="6.88671875" bestFit="1" customWidth="1"/>
    <col min="2" max="2" width="34.21875" bestFit="1" customWidth="1"/>
    <col min="3" max="3" width="11.21875" bestFit="1" customWidth="1"/>
    <col min="4" max="4" width="11.33203125" bestFit="1" customWidth="1"/>
    <col min="5" max="5" width="22.44140625" bestFit="1" customWidth="1"/>
    <col min="6" max="6" width="19.109375" bestFit="1" customWidth="1"/>
    <col min="7" max="7" width="27.6640625" bestFit="1" customWidth="1"/>
    <col min="8" max="8" width="13.5546875" bestFit="1" customWidth="1"/>
    <col min="9" max="9" width="21.33203125" bestFit="1" customWidth="1"/>
    <col min="10" max="10" width="4.33203125" bestFit="1" customWidth="1"/>
    <col min="11" max="11" width="26.33203125" bestFit="1" customWidth="1"/>
    <col min="12" max="12" width="20.5546875" bestFit="1" customWidth="1"/>
    <col min="13" max="13" width="6.33203125" customWidth="1"/>
    <col min="14" max="14" width="13.44140625" bestFit="1" customWidth="1"/>
    <col min="15" max="21" width="6.6640625" customWidth="1"/>
    <col min="23" max="23" width="34.21875" bestFit="1" customWidth="1"/>
    <col min="24" max="25" width="28.88671875" customWidth="1"/>
    <col min="26" max="28" width="29.44140625" customWidth="1"/>
    <col min="29" max="29" width="16.5546875" customWidth="1"/>
    <col min="30" max="30" width="12.33203125" customWidth="1"/>
    <col min="31" max="31" width="22.88671875" bestFit="1" customWidth="1"/>
    <col min="32" max="32" width="22.88671875" customWidth="1"/>
    <col min="33" max="33" width="18.21875" bestFit="1" customWidth="1"/>
    <col min="34" max="34" width="12.33203125" bestFit="1" customWidth="1"/>
    <col min="35" max="35" width="22.88671875" bestFit="1" customWidth="1"/>
    <col min="36" max="36" width="27.109375" bestFit="1" customWidth="1"/>
    <col min="37" max="37" width="18.21875" bestFit="1" customWidth="1"/>
    <col min="38" max="38" width="12.33203125" bestFit="1" customWidth="1"/>
    <col min="39" max="39" width="29.44140625" bestFit="1" customWidth="1"/>
    <col min="40" max="40" width="29.44140625" customWidth="1"/>
    <col min="41" max="41" width="29.44140625" bestFit="1" customWidth="1"/>
    <col min="42" max="42" width="12.33203125" bestFit="1" customWidth="1"/>
    <col min="43" max="43" width="23.33203125" bestFit="1" customWidth="1"/>
    <col min="44" max="44" width="28.44140625" bestFit="1" customWidth="1"/>
    <col min="45" max="45" width="18.21875" bestFit="1" customWidth="1"/>
    <col min="46" max="46" width="12.33203125" customWidth="1"/>
    <col min="47" max="47" width="39" bestFit="1" customWidth="1"/>
    <col min="48" max="48" width="28.44140625" bestFit="1" customWidth="1"/>
    <col min="49" max="49" width="18.21875" bestFit="1" customWidth="1"/>
    <col min="50" max="50" width="12.33203125" bestFit="1" customWidth="1"/>
    <col min="51" max="51" width="39" bestFit="1" customWidth="1"/>
    <col min="52" max="52" width="25.6640625" bestFit="1" customWidth="1"/>
    <col min="53" max="53" width="18.21875" bestFit="1" customWidth="1"/>
    <col min="54" max="54" width="12.33203125" customWidth="1"/>
    <col min="55" max="55" width="15.44140625" bestFit="1" customWidth="1"/>
    <col min="57" max="57" width="39" bestFit="1" customWidth="1"/>
    <col min="58" max="58" width="25.6640625" bestFit="1" customWidth="1"/>
    <col min="59" max="59" width="18.21875" bestFit="1" customWidth="1"/>
    <col min="60" max="60" width="12.33203125" bestFit="1" customWidth="1"/>
  </cols>
  <sheetData>
    <row r="1" spans="1:55" ht="17.399999999999999" x14ac:dyDescent="0.3">
      <c r="B1" s="39" t="s">
        <v>1</v>
      </c>
      <c r="C1" s="41">
        <v>533.33000000000004</v>
      </c>
    </row>
    <row r="2" spans="1:55" ht="18" x14ac:dyDescent="0.35">
      <c r="B2" s="40">
        <f ca="1">TODAY()</f>
        <v>45867</v>
      </c>
    </row>
    <row r="4" spans="1:55" ht="15" thickBot="1" x14ac:dyDescent="0.35"/>
    <row r="5" spans="1:55" ht="21.6" thickBot="1" x14ac:dyDescent="0.55000000000000004">
      <c r="X5" s="27" t="s">
        <v>10</v>
      </c>
      <c r="Y5" s="27" t="s">
        <v>45</v>
      </c>
      <c r="Z5" s="28" t="s">
        <v>46</v>
      </c>
      <c r="AA5" s="28" t="s">
        <v>48</v>
      </c>
      <c r="AB5" s="28" t="s">
        <v>60</v>
      </c>
      <c r="AE5" s="50" t="s">
        <v>74</v>
      </c>
      <c r="AF5" s="50" t="s">
        <v>75</v>
      </c>
      <c r="AG5" s="28"/>
      <c r="AI5" s="50" t="s">
        <v>80</v>
      </c>
      <c r="AJ5" s="50" t="s">
        <v>84</v>
      </c>
      <c r="AK5" s="28"/>
      <c r="AM5" s="56" t="s">
        <v>92</v>
      </c>
      <c r="AN5" s="56" t="s">
        <v>93</v>
      </c>
      <c r="AO5" s="28"/>
      <c r="AQ5" s="56" t="s">
        <v>92</v>
      </c>
      <c r="AR5" s="56" t="s">
        <v>145</v>
      </c>
      <c r="AS5" s="28"/>
      <c r="AU5" s="56" t="s">
        <v>143</v>
      </c>
      <c r="AV5" s="56" t="s">
        <v>144</v>
      </c>
      <c r="AW5" s="28"/>
      <c r="AY5" s="145" t="s">
        <v>143</v>
      </c>
      <c r="AZ5" s="145" t="s">
        <v>144</v>
      </c>
      <c r="BA5" s="22"/>
    </row>
    <row r="6" spans="1:55" ht="21.6" thickBot="1" x14ac:dyDescent="0.55000000000000004">
      <c r="B6" s="42" t="s">
        <v>12</v>
      </c>
      <c r="X6" s="28" t="s">
        <v>4</v>
      </c>
      <c r="Y6" s="28" t="s">
        <v>4</v>
      </c>
      <c r="Z6" s="28" t="s">
        <v>4</v>
      </c>
      <c r="AA6" s="28" t="s">
        <v>4</v>
      </c>
      <c r="AB6" s="28" t="s">
        <v>4</v>
      </c>
      <c r="AE6" s="19"/>
      <c r="AF6" s="19"/>
      <c r="AG6" s="49">
        <v>2020</v>
      </c>
      <c r="AI6" s="32"/>
      <c r="AJ6" s="32"/>
      <c r="AK6" s="49">
        <v>2021</v>
      </c>
      <c r="AM6" s="56">
        <v>2022</v>
      </c>
      <c r="AN6" s="56">
        <v>2022</v>
      </c>
      <c r="AO6" s="49">
        <v>2022</v>
      </c>
      <c r="AQ6" s="56">
        <v>2023</v>
      </c>
      <c r="AR6" s="56">
        <v>2023</v>
      </c>
      <c r="AS6" s="49">
        <v>2023</v>
      </c>
      <c r="AU6" s="56">
        <v>2023</v>
      </c>
      <c r="AV6" s="56">
        <v>2024</v>
      </c>
      <c r="AW6" s="49">
        <v>2024</v>
      </c>
      <c r="AY6" s="145">
        <v>2024</v>
      </c>
      <c r="AZ6" s="145">
        <v>2025</v>
      </c>
      <c r="BA6" s="60">
        <v>2024</v>
      </c>
    </row>
    <row r="7" spans="1:55" ht="18" x14ac:dyDescent="0.35">
      <c r="X7" s="29" t="s">
        <v>5</v>
      </c>
      <c r="Y7" s="29" t="s">
        <v>5</v>
      </c>
      <c r="Z7" s="29" t="s">
        <v>5</v>
      </c>
      <c r="AA7" s="29" t="s">
        <v>5</v>
      </c>
      <c r="AB7" s="29" t="s">
        <v>5</v>
      </c>
      <c r="AC7" s="29" t="s">
        <v>3</v>
      </c>
      <c r="AD7" s="29" t="s">
        <v>5</v>
      </c>
      <c r="AE7" s="20" t="s">
        <v>6</v>
      </c>
      <c r="AF7" s="20" t="s">
        <v>6</v>
      </c>
      <c r="AG7" s="29" t="s">
        <v>5</v>
      </c>
      <c r="AH7" s="15" t="s">
        <v>5</v>
      </c>
      <c r="AI7" s="44" t="s">
        <v>6</v>
      </c>
      <c r="AJ7" s="44" t="s">
        <v>6</v>
      </c>
      <c r="AK7" s="29" t="s">
        <v>5</v>
      </c>
      <c r="AL7" s="15" t="s">
        <v>5</v>
      </c>
      <c r="AM7" s="44" t="s">
        <v>6</v>
      </c>
      <c r="AN7" s="44" t="s">
        <v>6</v>
      </c>
      <c r="AO7" s="29" t="s">
        <v>5</v>
      </c>
      <c r="AP7" s="15" t="s">
        <v>5</v>
      </c>
      <c r="AQ7" s="44" t="s">
        <v>6</v>
      </c>
      <c r="AR7" s="44" t="s">
        <v>6</v>
      </c>
      <c r="AS7" s="29" t="s">
        <v>5</v>
      </c>
      <c r="AT7" s="15" t="s">
        <v>5</v>
      </c>
      <c r="AU7" s="44" t="s">
        <v>6</v>
      </c>
      <c r="AV7" s="44" t="s">
        <v>6</v>
      </c>
      <c r="AW7" s="29" t="s">
        <v>5</v>
      </c>
      <c r="AX7" s="15" t="s">
        <v>5</v>
      </c>
      <c r="AY7" s="146" t="s">
        <v>6</v>
      </c>
      <c r="AZ7" s="146" t="s">
        <v>6</v>
      </c>
      <c r="BA7" s="102" t="s">
        <v>5</v>
      </c>
      <c r="BB7" s="149" t="s">
        <v>5</v>
      </c>
    </row>
    <row r="8" spans="1:55" ht="18.600000000000001" thickBot="1" x14ac:dyDescent="0.4">
      <c r="B8" s="26" t="s">
        <v>2</v>
      </c>
      <c r="C8" s="26" t="s">
        <v>9</v>
      </c>
      <c r="D8" s="26" t="s">
        <v>8</v>
      </c>
      <c r="E8" s="26" t="s">
        <v>0</v>
      </c>
      <c r="F8" s="26" t="s">
        <v>40</v>
      </c>
      <c r="G8" s="26" t="s">
        <v>41</v>
      </c>
      <c r="H8" s="26" t="s">
        <v>3</v>
      </c>
      <c r="I8" s="26" t="s">
        <v>7</v>
      </c>
      <c r="L8" s="26" t="s">
        <v>11</v>
      </c>
      <c r="X8" s="30" t="s">
        <v>6</v>
      </c>
      <c r="Y8" s="30" t="s">
        <v>6</v>
      </c>
      <c r="Z8" s="30" t="s">
        <v>6</v>
      </c>
      <c r="AA8" s="30" t="s">
        <v>6</v>
      </c>
      <c r="AB8" s="30" t="s">
        <v>6</v>
      </c>
      <c r="AC8" s="30" t="s">
        <v>67</v>
      </c>
      <c r="AD8" s="30" t="s">
        <v>61</v>
      </c>
      <c r="AE8" s="21" t="s">
        <v>62</v>
      </c>
      <c r="AF8" s="21" t="s">
        <v>62</v>
      </c>
      <c r="AG8" s="30" t="s">
        <v>6</v>
      </c>
      <c r="AH8" s="16" t="s">
        <v>61</v>
      </c>
      <c r="AI8" s="45" t="s">
        <v>62</v>
      </c>
      <c r="AJ8" s="45" t="s">
        <v>62</v>
      </c>
      <c r="AK8" s="30" t="s">
        <v>6</v>
      </c>
      <c r="AL8" s="16" t="s">
        <v>61</v>
      </c>
      <c r="AM8" s="45" t="s">
        <v>62</v>
      </c>
      <c r="AN8" s="45" t="s">
        <v>62</v>
      </c>
      <c r="AO8" s="30" t="s">
        <v>6</v>
      </c>
      <c r="AP8" s="16" t="s">
        <v>61</v>
      </c>
      <c r="AQ8" s="45" t="s">
        <v>62</v>
      </c>
      <c r="AR8" s="45" t="s">
        <v>62</v>
      </c>
      <c r="AS8" s="30" t="s">
        <v>6</v>
      </c>
      <c r="AT8" s="16" t="s">
        <v>61</v>
      </c>
      <c r="AU8" s="45" t="s">
        <v>62</v>
      </c>
      <c r="AV8" s="45" t="s">
        <v>62</v>
      </c>
      <c r="AW8" s="30" t="s">
        <v>6</v>
      </c>
      <c r="AX8" s="16" t="s">
        <v>61</v>
      </c>
      <c r="AY8" s="147" t="s">
        <v>62</v>
      </c>
      <c r="AZ8" s="147" t="s">
        <v>62</v>
      </c>
      <c r="BA8" s="148" t="s">
        <v>6</v>
      </c>
      <c r="BB8" s="150" t="s">
        <v>61</v>
      </c>
    </row>
    <row r="9" spans="1:55" ht="25.8" thickBot="1" x14ac:dyDescent="0.65">
      <c r="A9" s="64">
        <v>1</v>
      </c>
      <c r="B9" s="175" t="s">
        <v>117</v>
      </c>
      <c r="C9" s="176" t="s">
        <v>13</v>
      </c>
      <c r="D9" s="183">
        <v>41386</v>
      </c>
      <c r="E9" s="177">
        <v>6</v>
      </c>
      <c r="F9" s="177">
        <f t="shared" ref="F9:F10" si="0">+E9*$C$1</f>
        <v>3199.9800000000005</v>
      </c>
      <c r="G9" s="177">
        <f t="shared" ref="G9:G36" si="1">+BC9</f>
        <v>909</v>
      </c>
      <c r="H9" s="178">
        <f t="shared" ref="H9:H10" si="2">+F9+G9</f>
        <v>4108.9800000000005</v>
      </c>
      <c r="I9" s="179">
        <v>10</v>
      </c>
      <c r="J9" s="72">
        <v>10</v>
      </c>
      <c r="L9" s="184">
        <v>46499</v>
      </c>
      <c r="M9" s="181"/>
      <c r="N9" s="182" t="str">
        <f t="shared" ref="N9" ca="1" si="3">IF($B$2&lt;L9,"O.K.","A L E R T A ")</f>
        <v>O.K.</v>
      </c>
      <c r="W9" s="1" t="s">
        <v>117</v>
      </c>
      <c r="X9" s="31">
        <v>0</v>
      </c>
      <c r="Y9" s="31">
        <v>96</v>
      </c>
      <c r="Z9" s="32">
        <v>96</v>
      </c>
      <c r="AA9" s="32">
        <v>96</v>
      </c>
      <c r="AB9" s="32">
        <v>96</v>
      </c>
      <c r="AC9" s="25">
        <v>96</v>
      </c>
      <c r="AD9" s="22">
        <f t="shared" ref="AD9" si="4">+AC9-AB9</f>
        <v>0</v>
      </c>
      <c r="AE9" s="43">
        <v>21</v>
      </c>
      <c r="AF9" s="43">
        <f>+(0)+(0)+(0)+(0)+(54)+(54)</f>
        <v>108</v>
      </c>
      <c r="AG9" s="32">
        <v>120</v>
      </c>
      <c r="AH9" s="12">
        <f t="shared" ref="AH9" si="5">+AD9+(AE9+AF9)-AG9</f>
        <v>9</v>
      </c>
      <c r="AI9" s="43">
        <f t="shared" ref="AI9" si="6">+(0)+(0)+(0)+(0)+(0)+(0)</f>
        <v>0</v>
      </c>
      <c r="AJ9" s="43">
        <f>+(78)+(0)+(0)+(0)+(78)+(0)</f>
        <v>156</v>
      </c>
      <c r="AK9" s="32">
        <v>120</v>
      </c>
      <c r="AL9" s="25">
        <f t="shared" ref="AL9" si="7">+AH9+AI9+AJ9-AK9</f>
        <v>45</v>
      </c>
      <c r="AM9" s="43">
        <f t="shared" ref="AM9:AN9" si="8">+(0)+(0)+(0)+(0)+(0)+(0)</f>
        <v>0</v>
      </c>
      <c r="AN9" s="43">
        <f t="shared" si="8"/>
        <v>0</v>
      </c>
      <c r="AO9" s="59">
        <v>45</v>
      </c>
      <c r="AP9" s="62">
        <f t="shared" ref="AP9" si="9">+AL9+AM9+AN9-AO9</f>
        <v>0</v>
      </c>
      <c r="AQ9" s="65">
        <f t="shared" ref="AQ9:AR147" si="10">+(0)+(0)+(0)+(0)+(0)+(0)</f>
        <v>0</v>
      </c>
      <c r="AR9" s="65">
        <f t="shared" si="10"/>
        <v>0</v>
      </c>
      <c r="AS9" s="118">
        <v>0</v>
      </c>
      <c r="AT9" s="62">
        <f t="shared" ref="AT9" si="11">+AP9+AQ9+AR9-AS9</f>
        <v>0</v>
      </c>
      <c r="AU9" s="25">
        <f>+(0)+(0)+(0)+(78)</f>
        <v>78</v>
      </c>
      <c r="AV9" s="25">
        <f>+(0)+(0)+(96)+(0)+(0)+(0)+(0)+(30)</f>
        <v>126</v>
      </c>
      <c r="AW9" s="51">
        <v>120</v>
      </c>
      <c r="AX9" s="51">
        <f>+AT9+AU9+AV9-AW9</f>
        <v>84</v>
      </c>
      <c r="AY9" s="151">
        <f>+(0)+(0)+(0)+(78)</f>
        <v>78</v>
      </c>
      <c r="AZ9" s="151">
        <f>+(0)+(0)+(0)+(0)+(0)+(30)+(0)+(0)</f>
        <v>30</v>
      </c>
      <c r="BA9" s="207">
        <v>120</v>
      </c>
      <c r="BB9" s="207">
        <f t="shared" ref="BB9:BB39" si="12">(AX9+AY9+AZ9)-BA9</f>
        <v>72</v>
      </c>
      <c r="BC9" s="208">
        <f>SUM(X9:AA9)+AB9+AG9+AK9+AO9+AS9+AW9+BA9</f>
        <v>909</v>
      </c>
    </row>
    <row r="10" spans="1:55" ht="25.8" thickBot="1" x14ac:dyDescent="0.65">
      <c r="A10" s="64">
        <v>2</v>
      </c>
      <c r="B10" s="196" t="s">
        <v>176</v>
      </c>
      <c r="C10" s="197" t="s">
        <v>15</v>
      </c>
      <c r="D10" s="205">
        <v>45567</v>
      </c>
      <c r="E10" s="198">
        <v>0</v>
      </c>
      <c r="F10" s="198">
        <f t="shared" si="0"/>
        <v>0</v>
      </c>
      <c r="G10" s="198">
        <f t="shared" si="1"/>
        <v>0</v>
      </c>
      <c r="H10" s="199">
        <f t="shared" si="2"/>
        <v>0</v>
      </c>
      <c r="I10" s="200">
        <v>15</v>
      </c>
      <c r="J10" s="72">
        <v>15</v>
      </c>
      <c r="L10" s="193" t="s">
        <v>166</v>
      </c>
      <c r="M10" s="194"/>
      <c r="N10" s="17"/>
      <c r="W10" s="1" t="s">
        <v>176</v>
      </c>
      <c r="X10" s="31"/>
      <c r="Y10" s="31"/>
      <c r="Z10" s="32"/>
      <c r="AA10" s="32"/>
      <c r="AB10" s="32"/>
      <c r="AC10" s="25"/>
      <c r="AD10" s="22"/>
      <c r="AE10" s="43"/>
      <c r="AF10" s="43"/>
      <c r="AG10" s="32"/>
      <c r="AH10" s="12"/>
      <c r="AI10" s="43"/>
      <c r="AJ10" s="43"/>
      <c r="AK10" s="32"/>
      <c r="AL10" s="25"/>
      <c r="AM10" s="43"/>
      <c r="AN10" s="43"/>
      <c r="AO10" s="59"/>
      <c r="AP10" s="62"/>
      <c r="AQ10" s="65"/>
      <c r="AR10" s="65"/>
      <c r="AS10" s="118"/>
      <c r="AT10" s="62"/>
      <c r="AU10" s="25"/>
      <c r="AV10" s="25"/>
      <c r="AW10" s="51"/>
      <c r="AX10" s="51"/>
      <c r="AY10" s="151">
        <f t="shared" ref="AY10:AY153" si="13">+(0)+(0)+(0)+(0)</f>
        <v>0</v>
      </c>
      <c r="AZ10" s="151">
        <f t="shared" ref="AZ10:AZ155" si="14">+(0)+(0)+(0)+(0)+(0)+(0)+(0)+(0)</f>
        <v>0</v>
      </c>
      <c r="BA10" s="207">
        <v>0</v>
      </c>
      <c r="BB10" s="207">
        <f t="shared" si="12"/>
        <v>0</v>
      </c>
      <c r="BC10" s="208">
        <f t="shared" ref="BC10" si="15">SUM(X10:AA10)+AB10+AG10+AK10+AO10+AS10+AW10+BA10</f>
        <v>0</v>
      </c>
    </row>
    <row r="11" spans="1:55" ht="25.8" thickBot="1" x14ac:dyDescent="0.65">
      <c r="A11" s="64">
        <v>3</v>
      </c>
      <c r="B11" s="73" t="s">
        <v>120</v>
      </c>
      <c r="C11" s="74" t="s">
        <v>15</v>
      </c>
      <c r="D11" s="73" t="s">
        <v>121</v>
      </c>
      <c r="E11" s="98">
        <v>4</v>
      </c>
      <c r="F11" s="76">
        <f t="shared" ref="F11:F93" si="16">+E11*$C$1</f>
        <v>2133.3200000000002</v>
      </c>
      <c r="G11" s="76">
        <f t="shared" si="1"/>
        <v>1500</v>
      </c>
      <c r="H11" s="77">
        <f t="shared" ref="H11:H93" si="17">+F11+G11</f>
        <v>3633.32</v>
      </c>
      <c r="I11" s="78">
        <v>11</v>
      </c>
      <c r="J11" s="72">
        <v>11</v>
      </c>
      <c r="L11" s="97">
        <v>45935</v>
      </c>
      <c r="M11" s="80"/>
      <c r="N11" s="81" t="str">
        <f ca="1">IF($B$2&lt;L11,"O.K.","A L E R T A ")</f>
        <v>O.K.</v>
      </c>
      <c r="W11" s="1" t="s">
        <v>120</v>
      </c>
      <c r="X11" s="68">
        <v>0</v>
      </c>
      <c r="Y11" s="31">
        <v>150</v>
      </c>
      <c r="Z11" s="32">
        <v>150</v>
      </c>
      <c r="AA11" s="32">
        <v>150</v>
      </c>
      <c r="AB11" s="32">
        <v>150</v>
      </c>
      <c r="AC11" s="25">
        <v>288</v>
      </c>
      <c r="AD11" s="22">
        <f t="shared" ref="AD11:AD97" si="18">+AC11-AB11</f>
        <v>138</v>
      </c>
      <c r="AE11" s="43">
        <f>78+38.4+84</f>
        <v>200.4</v>
      </c>
      <c r="AF11" s="43">
        <f>+(0)+(0)+(0)+(0)+(0)+(54)</f>
        <v>54</v>
      </c>
      <c r="AG11" s="32">
        <v>150</v>
      </c>
      <c r="AH11" s="12">
        <f>+AD11+(AE11+AF11)-AG11</f>
        <v>242.39999999999998</v>
      </c>
      <c r="AI11" s="43">
        <f t="shared" ref="AI11:AJ155" si="19">+(0)+(0)+(0)+(0)+(0)+(0)</f>
        <v>0</v>
      </c>
      <c r="AJ11" s="43">
        <f>+(0)+(0)+(78)+(0)+(0)+(0)</f>
        <v>78</v>
      </c>
      <c r="AK11" s="32">
        <v>150</v>
      </c>
      <c r="AL11" s="25">
        <f>+AH11+AI11+AJ11-AK11</f>
        <v>170.39999999999998</v>
      </c>
      <c r="AM11" s="43">
        <f t="shared" ref="AM11:AN155" si="20">+(0)+(0)+(0)+(0)+(0)+(0)</f>
        <v>0</v>
      </c>
      <c r="AN11" s="43">
        <f>+(0)+(0)+(0)+(0)+(0)+(30)</f>
        <v>30</v>
      </c>
      <c r="AO11" s="59">
        <v>150</v>
      </c>
      <c r="AP11" s="62">
        <f>+AL11+AM11+AN11-AO11</f>
        <v>50.399999999999977</v>
      </c>
      <c r="AQ11" s="65">
        <f>+(108)+(0)+(0)+(0)+(174)+(0)</f>
        <v>282</v>
      </c>
      <c r="AR11" s="65">
        <f t="shared" si="10"/>
        <v>0</v>
      </c>
      <c r="AS11" s="118">
        <v>150</v>
      </c>
      <c r="AT11" s="62">
        <f>+AP11+AQ11+AR11-AS11</f>
        <v>182.39999999999998</v>
      </c>
      <c r="AU11" s="25">
        <f>+(0)+(0)+(0)+(84)</f>
        <v>84</v>
      </c>
      <c r="AV11" s="25">
        <f>+(0)+(0)+(96)+(0)+(0)+(0)+(0)+(0)</f>
        <v>96</v>
      </c>
      <c r="AW11" s="25">
        <v>150</v>
      </c>
      <c r="AX11" s="25">
        <f t="shared" ref="AX11:AX36" si="21">+AT11+AU11+AV11-AW11</f>
        <v>212.39999999999998</v>
      </c>
      <c r="AY11" s="151">
        <f>+(0)+(0)+(0)+(169.8)</f>
        <v>169.8</v>
      </c>
      <c r="AZ11" s="151">
        <f>+(0)+(30)+(132)+(0)+(0)+(0)+(0)+(0)</f>
        <v>162</v>
      </c>
      <c r="BA11" s="207">
        <v>150</v>
      </c>
      <c r="BB11" s="207">
        <f t="shared" si="12"/>
        <v>394.20000000000005</v>
      </c>
      <c r="BC11" s="208">
        <f t="shared" ref="BC11:BC82" si="22">SUM(X11:AA11)+AB11+AG11+AK11+AO11+AS11+AW11+BA11</f>
        <v>1500</v>
      </c>
    </row>
    <row r="12" spans="1:55" ht="25.8" thickBot="1" x14ac:dyDescent="0.65">
      <c r="A12" s="64">
        <v>4</v>
      </c>
      <c r="B12" s="175" t="s">
        <v>181</v>
      </c>
      <c r="C12" s="176" t="s">
        <v>18</v>
      </c>
      <c r="D12" s="183">
        <v>45694</v>
      </c>
      <c r="E12" s="187">
        <v>0</v>
      </c>
      <c r="F12" s="177">
        <f t="shared" ref="F12" si="23">+E12*$C$1</f>
        <v>0</v>
      </c>
      <c r="G12" s="177">
        <f t="shared" ref="G12" si="24">+BC12</f>
        <v>0</v>
      </c>
      <c r="H12" s="178">
        <f t="shared" ref="H12" si="25">+F12+G12</f>
        <v>0</v>
      </c>
      <c r="I12" s="179">
        <v>15</v>
      </c>
      <c r="J12" s="72">
        <v>15</v>
      </c>
      <c r="L12" s="180">
        <v>46424</v>
      </c>
      <c r="M12" s="181"/>
      <c r="N12" s="182" t="str">
        <f ca="1">IF($B$2&lt;L12,"O.K.","A L E R T A ")</f>
        <v>O.K.</v>
      </c>
      <c r="W12" s="1" t="s">
        <v>181</v>
      </c>
      <c r="X12" s="68"/>
      <c r="Y12" s="31"/>
      <c r="Z12" s="32"/>
      <c r="AA12" s="32"/>
      <c r="AB12" s="32"/>
      <c r="AC12" s="25"/>
      <c r="AD12" s="22"/>
      <c r="AE12" s="43"/>
      <c r="AF12" s="43"/>
      <c r="AG12" s="32"/>
      <c r="AH12" s="12"/>
      <c r="AI12" s="43"/>
      <c r="AJ12" s="43"/>
      <c r="AK12" s="32"/>
      <c r="AL12" s="25"/>
      <c r="AM12" s="43"/>
      <c r="AN12" s="43"/>
      <c r="AO12" s="59"/>
      <c r="AP12" s="62"/>
      <c r="AQ12" s="65"/>
      <c r="AR12" s="65"/>
      <c r="AS12" s="118"/>
      <c r="AT12" s="62"/>
      <c r="AU12" s="25"/>
      <c r="AV12" s="25"/>
      <c r="AW12" s="25"/>
      <c r="AX12" s="25"/>
      <c r="AY12" s="151">
        <f t="shared" si="13"/>
        <v>0</v>
      </c>
      <c r="AZ12" s="151">
        <f t="shared" si="14"/>
        <v>0</v>
      </c>
      <c r="BA12" s="207">
        <v>0</v>
      </c>
      <c r="BB12" s="207">
        <f t="shared" ref="BB12" si="26">(AX12+AY12+AZ12)-BA12</f>
        <v>0</v>
      </c>
      <c r="BC12" s="208">
        <f t="shared" ref="BC12" si="27">SUM(X12:AA12)+AB12+AG12+AK12+AO12+AS12+AW12+BA12</f>
        <v>0</v>
      </c>
    </row>
    <row r="13" spans="1:55" ht="25.8" thickBot="1" x14ac:dyDescent="0.65">
      <c r="A13" s="64">
        <v>5</v>
      </c>
      <c r="B13" s="175" t="s">
        <v>138</v>
      </c>
      <c r="C13" s="176" t="s">
        <v>15</v>
      </c>
      <c r="D13" s="183">
        <v>42370</v>
      </c>
      <c r="E13" s="177">
        <v>5</v>
      </c>
      <c r="F13" s="177">
        <f t="shared" si="16"/>
        <v>2666.65</v>
      </c>
      <c r="G13" s="177">
        <f t="shared" si="1"/>
        <v>1392</v>
      </c>
      <c r="H13" s="178">
        <f t="shared" si="17"/>
        <v>4058.65</v>
      </c>
      <c r="I13" s="179">
        <v>11</v>
      </c>
      <c r="J13" s="72">
        <v>11</v>
      </c>
      <c r="L13" s="185">
        <v>46462</v>
      </c>
      <c r="M13" s="186"/>
      <c r="N13" s="182" t="str">
        <f t="shared" ref="N13" ca="1" si="28">IF($B$2&lt;L13,"O.K.","A L E R T A ")</f>
        <v>O.K.</v>
      </c>
      <c r="W13" s="1" t="s">
        <v>138</v>
      </c>
      <c r="X13" s="31">
        <v>0</v>
      </c>
      <c r="Y13" s="31">
        <v>96</v>
      </c>
      <c r="Z13" s="32">
        <v>96</v>
      </c>
      <c r="AA13" s="32">
        <v>150</v>
      </c>
      <c r="AB13" s="32">
        <v>150</v>
      </c>
      <c r="AC13" s="25">
        <v>156</v>
      </c>
      <c r="AD13" s="22">
        <f t="shared" si="18"/>
        <v>6</v>
      </c>
      <c r="AE13" s="43">
        <v>0</v>
      </c>
      <c r="AF13" s="43">
        <f>+(0)+(216)+(0)+(0)+(108.6)+(264)</f>
        <v>588.6</v>
      </c>
      <c r="AG13" s="32">
        <v>150</v>
      </c>
      <c r="AH13" s="12">
        <f t="shared" ref="AH13" si="29">+AD13+(AE13+AF13)-AG13</f>
        <v>444.6</v>
      </c>
      <c r="AI13" s="43">
        <f>+(0)+(0)+(0)+(0)+(156)+(0)</f>
        <v>156</v>
      </c>
      <c r="AJ13" s="43">
        <f>+(0)+(0)+(108)+(0)+(0)+(0)</f>
        <v>108</v>
      </c>
      <c r="AK13" s="32">
        <v>150</v>
      </c>
      <c r="AL13" s="25">
        <f t="shared" ref="AL13" si="30">+AH13+AI13+AJ13-AK13</f>
        <v>558.6</v>
      </c>
      <c r="AM13" s="43">
        <f>+(0)+(0)+(0)+(78)+(0)+(0)</f>
        <v>78</v>
      </c>
      <c r="AN13" s="43">
        <f t="shared" ref="AN13" si="31">+(0)+(0)+(0)+(0)+(0)+(0)</f>
        <v>0</v>
      </c>
      <c r="AO13" s="59">
        <v>150</v>
      </c>
      <c r="AP13" s="62">
        <f t="shared" ref="AP13" si="32">+AL13+AM13+AN13-AO13</f>
        <v>486.6</v>
      </c>
      <c r="AQ13" s="65">
        <f>+(108)+(150)+(0)+(0)+(54)+(0)</f>
        <v>312</v>
      </c>
      <c r="AR13" s="65">
        <f>+(0)+(96)+(0)+(0)+(0)+(0)</f>
        <v>96</v>
      </c>
      <c r="AS13" s="118">
        <v>150</v>
      </c>
      <c r="AT13" s="62">
        <f t="shared" ref="AT13" si="33">+AP13+AQ13+AR13-AS13</f>
        <v>744.6</v>
      </c>
      <c r="AU13" s="25">
        <f>+(0)+(0)+(0)+(192)</f>
        <v>192</v>
      </c>
      <c r="AV13" s="25">
        <f>+(0)+(0)+(0)+(0)+(0)+(0)+(60)+(0)</f>
        <v>60</v>
      </c>
      <c r="AW13" s="25">
        <v>150</v>
      </c>
      <c r="AX13" s="25">
        <f t="shared" si="21"/>
        <v>846.6</v>
      </c>
      <c r="AY13" s="151">
        <f>+(0)+(0)+(0)+(91.2)</f>
        <v>91.2</v>
      </c>
      <c r="AZ13" s="151">
        <f>+(0)+(54)+(312)+(0)+(0)+(0)+(0)+(0)</f>
        <v>366</v>
      </c>
      <c r="BA13" s="207">
        <v>150</v>
      </c>
      <c r="BB13" s="207">
        <f t="shared" si="12"/>
        <v>1153.8000000000002</v>
      </c>
      <c r="BC13" s="208">
        <f t="shared" si="22"/>
        <v>1392</v>
      </c>
    </row>
    <row r="14" spans="1:55" ht="25.8" thickBot="1" x14ac:dyDescent="0.65">
      <c r="A14" s="64">
        <v>6</v>
      </c>
      <c r="B14" s="143" t="s">
        <v>42</v>
      </c>
      <c r="C14" s="127" t="s">
        <v>18</v>
      </c>
      <c r="D14" s="128">
        <v>42591</v>
      </c>
      <c r="E14" s="129">
        <v>4</v>
      </c>
      <c r="F14" s="130">
        <f t="shared" si="16"/>
        <v>2133.3200000000002</v>
      </c>
      <c r="G14" s="130">
        <f t="shared" si="1"/>
        <v>1446</v>
      </c>
      <c r="H14" s="131">
        <f t="shared" si="17"/>
        <v>3579.32</v>
      </c>
      <c r="I14" s="132">
        <v>11</v>
      </c>
      <c r="J14" s="72">
        <v>11</v>
      </c>
      <c r="L14" s="137">
        <v>46242</v>
      </c>
      <c r="M14" s="124"/>
      <c r="N14" s="125" t="str">
        <f t="shared" ref="N14:N16" ca="1" si="34">IF($B$2&lt;L14,"O.K.","A L E R T A ")</f>
        <v>O.K.</v>
      </c>
      <c r="W14" s="7" t="s">
        <v>42</v>
      </c>
      <c r="X14" s="33">
        <v>0</v>
      </c>
      <c r="Y14" s="31">
        <v>96</v>
      </c>
      <c r="Z14" s="32">
        <v>150</v>
      </c>
      <c r="AA14" s="32">
        <v>150</v>
      </c>
      <c r="AB14" s="32">
        <v>150</v>
      </c>
      <c r="AC14" s="25">
        <v>156</v>
      </c>
      <c r="AD14" s="22">
        <f t="shared" si="18"/>
        <v>6</v>
      </c>
      <c r="AE14" s="43">
        <f>78+108</f>
        <v>186</v>
      </c>
      <c r="AF14" s="43">
        <f>+(91.8)+(0)+(0)+(0)+(54)+(162)</f>
        <v>307.8</v>
      </c>
      <c r="AG14" s="32">
        <v>150</v>
      </c>
      <c r="AH14" s="12">
        <f t="shared" ref="AH14:AH97" si="35">+AD14+(AE14+AF14)-AG14</f>
        <v>349.8</v>
      </c>
      <c r="AI14" s="43">
        <f>+(0)+(0)+(0)+(0)+(30)+(0)</f>
        <v>30</v>
      </c>
      <c r="AJ14" s="43">
        <f>+(120)+(120)+(0)+(0)+(0)+(0)</f>
        <v>240</v>
      </c>
      <c r="AK14" s="32">
        <v>150</v>
      </c>
      <c r="AL14" s="25">
        <f t="shared" ref="AL14:AL97" si="36">+AH14+AI14+AJ14-AK14</f>
        <v>469.79999999999995</v>
      </c>
      <c r="AM14" s="43">
        <f t="shared" si="20"/>
        <v>0</v>
      </c>
      <c r="AN14" s="43">
        <f>+(0)+(0)+(0)+(0)+(96)+(0)</f>
        <v>96</v>
      </c>
      <c r="AO14" s="59">
        <v>150</v>
      </c>
      <c r="AP14" s="62">
        <f t="shared" ref="AP14:AP103" si="37">+AL14+AM14+AN14-AO14</f>
        <v>415.79999999999995</v>
      </c>
      <c r="AQ14" s="65">
        <f>+(0)+(0)+(0)+(0)+(0)+(96)</f>
        <v>96</v>
      </c>
      <c r="AR14" s="65">
        <f>+(0)+(168)+(0)+(0)+(0)+(0)</f>
        <v>168</v>
      </c>
      <c r="AS14" s="118">
        <v>150</v>
      </c>
      <c r="AT14" s="62">
        <f t="shared" ref="AT14:AT103" si="38">+AP14+AQ14+AR14-AS14</f>
        <v>529.79999999999995</v>
      </c>
      <c r="AU14" s="25">
        <f>+(0)+(0)+(0)+(78)</f>
        <v>78</v>
      </c>
      <c r="AV14" s="25">
        <f>+(0)+(0)+(0)+(0)+(0)+(0)+(0)+(108)</f>
        <v>108</v>
      </c>
      <c r="AW14" s="51">
        <v>150</v>
      </c>
      <c r="AX14" s="51">
        <f t="shared" si="21"/>
        <v>565.79999999999995</v>
      </c>
      <c r="AY14" s="151">
        <f>+(0)+(0)+(0)+(54)</f>
        <v>54</v>
      </c>
      <c r="AZ14" s="151">
        <f t="shared" si="14"/>
        <v>0</v>
      </c>
      <c r="BA14" s="207">
        <v>150</v>
      </c>
      <c r="BB14" s="207">
        <f t="shared" si="12"/>
        <v>469.79999999999995</v>
      </c>
      <c r="BC14" s="208">
        <f t="shared" si="22"/>
        <v>1446</v>
      </c>
    </row>
    <row r="15" spans="1:55" ht="25.8" thickBot="1" x14ac:dyDescent="0.65">
      <c r="A15" s="64">
        <v>7</v>
      </c>
      <c r="B15" s="73" t="s">
        <v>197</v>
      </c>
      <c r="C15" s="74" t="s">
        <v>15</v>
      </c>
      <c r="D15" s="75">
        <v>44287</v>
      </c>
      <c r="E15" s="98">
        <v>3</v>
      </c>
      <c r="F15" s="76">
        <f>+E15*$C$1</f>
        <v>1599.9900000000002</v>
      </c>
      <c r="G15" s="76">
        <f>+BC15</f>
        <v>600</v>
      </c>
      <c r="H15" s="77">
        <f>+F15+G15</f>
        <v>2199.9900000000002</v>
      </c>
      <c r="I15" s="78">
        <v>13</v>
      </c>
      <c r="J15" s="202">
        <v>13</v>
      </c>
      <c r="L15" s="97">
        <v>46004</v>
      </c>
      <c r="M15" s="80"/>
      <c r="N15" s="81" t="str">
        <f ca="1">IF($B$2&lt;L15,"O.K.","A L E R T A ")</f>
        <v>O.K.</v>
      </c>
      <c r="W15" s="1" t="s">
        <v>197</v>
      </c>
      <c r="X15" s="33">
        <v>0</v>
      </c>
      <c r="Y15" s="31">
        <v>0</v>
      </c>
      <c r="Z15" s="32">
        <v>0</v>
      </c>
      <c r="AA15" s="32">
        <v>0</v>
      </c>
      <c r="AB15" s="32">
        <v>0</v>
      </c>
      <c r="AC15" s="25">
        <v>0</v>
      </c>
      <c r="AD15" s="22">
        <f>+AC15-AB15</f>
        <v>0</v>
      </c>
      <c r="AE15" s="43">
        <v>0</v>
      </c>
      <c r="AF15" s="43">
        <v>0</v>
      </c>
      <c r="AG15" s="32">
        <v>0</v>
      </c>
      <c r="AH15" s="12">
        <f>+AD15+(AE15+AF15)-AG15</f>
        <v>0</v>
      </c>
      <c r="AI15" s="43">
        <f>+(0)+(0)+(0)+(0)+(0)+(0)</f>
        <v>0</v>
      </c>
      <c r="AJ15" s="43">
        <f>+(0)+(0)+(0)+(0)+(0)+(0)</f>
        <v>0</v>
      </c>
      <c r="AK15" s="32">
        <v>0</v>
      </c>
      <c r="AL15" s="25">
        <f>+AH15+AI15+AJ15-AK15</f>
        <v>0</v>
      </c>
      <c r="AM15" s="43">
        <f>+(0)+(0)+(0)+(0)+(0)+(0)</f>
        <v>0</v>
      </c>
      <c r="AN15" s="43">
        <f>+(0)+(0)+(0)+(0)+(78)+(96)</f>
        <v>174</v>
      </c>
      <c r="AO15" s="134">
        <v>150</v>
      </c>
      <c r="AP15" s="118">
        <f>+AL15+AM15+AN15-AO15</f>
        <v>24</v>
      </c>
      <c r="AQ15" s="65">
        <f>+(0)+(0)+(0)+(78)+(54)+(0)</f>
        <v>132</v>
      </c>
      <c r="AR15" s="65">
        <f>+(0)+(0)+(0)+(0)+(0)+(0)</f>
        <v>0</v>
      </c>
      <c r="AS15" s="118">
        <v>150</v>
      </c>
      <c r="AT15" s="118">
        <f>+AP15+AQ15+AR15-AS15</f>
        <v>6</v>
      </c>
      <c r="AU15" s="117">
        <f>+(0)+(0)+(30)+(282)</f>
        <v>312</v>
      </c>
      <c r="AV15" s="117">
        <f>+(0)+(0)+(0)+(0)+(54)+(120)+(96)+(96)</f>
        <v>366</v>
      </c>
      <c r="AW15" s="118">
        <v>150</v>
      </c>
      <c r="AX15" s="118">
        <f>+AT15+AU15+AV15-AW15</f>
        <v>534</v>
      </c>
      <c r="AY15" s="151">
        <f>+(96)+(0)+(0)+(78)</f>
        <v>174</v>
      </c>
      <c r="AZ15" s="151">
        <f>+(0)+(0)+(174)+(0)+(0)+(0)+(0)+(0)</f>
        <v>174</v>
      </c>
      <c r="BA15" s="207">
        <v>150</v>
      </c>
      <c r="BB15" s="207">
        <f>(AX15+AY15+AZ15)-BA15</f>
        <v>732</v>
      </c>
      <c r="BC15" s="209">
        <f>SUM(X15:AA15)+AB15+AG15+AK15+AO15+AS15+AW15+BA15</f>
        <v>600</v>
      </c>
    </row>
    <row r="16" spans="1:55" ht="25.8" thickBot="1" x14ac:dyDescent="0.65">
      <c r="A16" s="64">
        <v>8</v>
      </c>
      <c r="B16" s="126" t="s">
        <v>118</v>
      </c>
      <c r="C16" s="127" t="s">
        <v>15</v>
      </c>
      <c r="D16" s="128">
        <v>44835</v>
      </c>
      <c r="E16" s="129">
        <v>6</v>
      </c>
      <c r="F16" s="130">
        <f t="shared" ref="F16" si="39">+E16*$C$1</f>
        <v>3199.9800000000005</v>
      </c>
      <c r="G16" s="142">
        <f>+BC16</f>
        <v>2364</v>
      </c>
      <c r="H16" s="131">
        <f t="shared" si="17"/>
        <v>5563.9800000000005</v>
      </c>
      <c r="I16" s="132">
        <v>9</v>
      </c>
      <c r="J16" s="72">
        <v>9</v>
      </c>
      <c r="L16" s="137">
        <v>46156</v>
      </c>
      <c r="M16" s="124"/>
      <c r="N16" s="125" t="str">
        <f t="shared" ca="1" si="34"/>
        <v>O.K.</v>
      </c>
      <c r="W16" s="1" t="s">
        <v>118</v>
      </c>
      <c r="X16" s="66">
        <v>1914</v>
      </c>
      <c r="Y16" s="31">
        <v>0</v>
      </c>
      <c r="Z16" s="32">
        <v>0</v>
      </c>
      <c r="AA16" s="32">
        <v>0</v>
      </c>
      <c r="AB16" s="32">
        <v>0</v>
      </c>
      <c r="AC16" s="25">
        <v>0</v>
      </c>
      <c r="AD16" s="22">
        <v>0</v>
      </c>
      <c r="AE16" s="43">
        <v>0</v>
      </c>
      <c r="AF16" s="43">
        <v>0</v>
      </c>
      <c r="AG16" s="32">
        <v>0</v>
      </c>
      <c r="AH16" s="12">
        <f t="shared" si="35"/>
        <v>0</v>
      </c>
      <c r="AI16" s="43">
        <v>0</v>
      </c>
      <c r="AJ16" s="43">
        <v>0</v>
      </c>
      <c r="AK16" s="32">
        <v>0</v>
      </c>
      <c r="AL16" s="25">
        <f t="shared" si="36"/>
        <v>0</v>
      </c>
      <c r="AM16" s="43">
        <f t="shared" si="20"/>
        <v>0</v>
      </c>
      <c r="AN16" s="43">
        <f t="shared" si="20"/>
        <v>0</v>
      </c>
      <c r="AO16" s="59">
        <v>0</v>
      </c>
      <c r="AP16" s="62">
        <f t="shared" si="37"/>
        <v>0</v>
      </c>
      <c r="AQ16" s="65">
        <f>+(0)+(0)+(0)+(0)+(54)+(0)</f>
        <v>54</v>
      </c>
      <c r="AR16" s="65">
        <f>+(0)+(120)+(0)+(0)+(0)+(0)</f>
        <v>120</v>
      </c>
      <c r="AS16" s="118">
        <v>150</v>
      </c>
      <c r="AT16" s="62">
        <f t="shared" si="38"/>
        <v>24</v>
      </c>
      <c r="AU16" s="25">
        <f>+(0)+(0)+(0)+(96)</f>
        <v>96</v>
      </c>
      <c r="AV16" s="25">
        <f>+(120)+(0)+(85.8)+(0)+(37.8)+(120)+(30)+(0)</f>
        <v>393.6</v>
      </c>
      <c r="AW16" s="25">
        <v>150</v>
      </c>
      <c r="AX16" s="25">
        <f t="shared" si="21"/>
        <v>363.6</v>
      </c>
      <c r="AY16" s="151">
        <f>+(0)+(0)+(0)+(78)</f>
        <v>78</v>
      </c>
      <c r="AZ16" s="151">
        <f>+(120)+(0)+(78)+(0)+(0)+(0)+(0)+(0)</f>
        <v>198</v>
      </c>
      <c r="BA16" s="207">
        <v>150</v>
      </c>
      <c r="BB16" s="207">
        <f t="shared" si="12"/>
        <v>489.6</v>
      </c>
      <c r="BC16" s="208">
        <f t="shared" si="22"/>
        <v>2364</v>
      </c>
    </row>
    <row r="17" spans="1:55" ht="25.8" thickBot="1" x14ac:dyDescent="0.65">
      <c r="A17" s="64">
        <v>9</v>
      </c>
      <c r="B17" s="126" t="s">
        <v>86</v>
      </c>
      <c r="C17" s="127" t="s">
        <v>13</v>
      </c>
      <c r="D17" s="128">
        <v>44025</v>
      </c>
      <c r="E17" s="130">
        <v>2</v>
      </c>
      <c r="F17" s="130">
        <f>+E17*$C$1</f>
        <v>1066.6600000000001</v>
      </c>
      <c r="G17" s="130">
        <f t="shared" si="1"/>
        <v>666.6</v>
      </c>
      <c r="H17" s="131">
        <f>+F17+G17</f>
        <v>1733.2600000000002</v>
      </c>
      <c r="I17" s="132">
        <v>13</v>
      </c>
      <c r="J17" s="72">
        <v>13</v>
      </c>
      <c r="L17" s="138">
        <v>46216</v>
      </c>
      <c r="M17" s="139"/>
      <c r="N17" s="125" t="str">
        <f t="shared" ref="N17:N29" ca="1" si="40">IF($B$2&lt;L17,"O.K.","A L E R T A ")</f>
        <v>O.K.</v>
      </c>
      <c r="W17" s="1" t="s">
        <v>86</v>
      </c>
      <c r="X17" s="31">
        <v>0</v>
      </c>
      <c r="Y17" s="31">
        <v>0</v>
      </c>
      <c r="Z17" s="32">
        <v>0</v>
      </c>
      <c r="AA17" s="32">
        <v>0</v>
      </c>
      <c r="AB17" s="32">
        <v>0</v>
      </c>
      <c r="AC17" s="25">
        <v>0</v>
      </c>
      <c r="AD17" s="22">
        <f>+AC17-AB17</f>
        <v>0</v>
      </c>
      <c r="AE17" s="43">
        <v>0</v>
      </c>
      <c r="AF17" s="43">
        <f>+(0)+(0)+(0)+(0)+(54)+(108.6)</f>
        <v>162.6</v>
      </c>
      <c r="AG17" s="32">
        <v>120</v>
      </c>
      <c r="AH17" s="12">
        <f>+AD17+(AE17+AF17)-AG17</f>
        <v>42.599999999999994</v>
      </c>
      <c r="AI17" s="43">
        <f>+(0)+(0)+(0)+(0)+(0)+(0)</f>
        <v>0</v>
      </c>
      <c r="AJ17" s="43">
        <f>+(108)+(30)+(0)+(0)+(78)+(0)</f>
        <v>216</v>
      </c>
      <c r="AK17" s="32">
        <v>120</v>
      </c>
      <c r="AL17" s="25">
        <f>+AH17+AI17+AJ17-AK17</f>
        <v>138.60000000000002</v>
      </c>
      <c r="AM17" s="43">
        <f t="shared" si="20"/>
        <v>0</v>
      </c>
      <c r="AN17" s="43">
        <f t="shared" si="20"/>
        <v>0</v>
      </c>
      <c r="AO17" s="59">
        <v>120</v>
      </c>
      <c r="AP17" s="62">
        <f t="shared" si="37"/>
        <v>18.600000000000023</v>
      </c>
      <c r="AQ17" s="65">
        <f t="shared" si="10"/>
        <v>0</v>
      </c>
      <c r="AR17" s="65">
        <f>+(0)+(60)+(0)+(0)+(0)+(0)</f>
        <v>60</v>
      </c>
      <c r="AS17" s="118">
        <v>78.599999999999994</v>
      </c>
      <c r="AT17" s="62">
        <f t="shared" si="38"/>
        <v>0</v>
      </c>
      <c r="AU17" s="25">
        <f t="shared" ref="AU17:AU154" si="41">+(0)+(0)+(0)+(0)</f>
        <v>0</v>
      </c>
      <c r="AV17" s="25">
        <f>+(0)+(0)+(96)+(0)+(54)+(0)+(0)+(0)</f>
        <v>150</v>
      </c>
      <c r="AW17" s="25">
        <v>120</v>
      </c>
      <c r="AX17" s="25">
        <f t="shared" si="21"/>
        <v>30</v>
      </c>
      <c r="AY17" s="151">
        <f t="shared" si="13"/>
        <v>0</v>
      </c>
      <c r="AZ17" s="151">
        <f>+(0)+(0)+(78)+(0)+(0)+(0)+(0)+(0)</f>
        <v>78</v>
      </c>
      <c r="BA17" s="207">
        <v>108</v>
      </c>
      <c r="BB17" s="207">
        <f t="shared" si="12"/>
        <v>0</v>
      </c>
      <c r="BC17" s="208">
        <f t="shared" si="22"/>
        <v>666.6</v>
      </c>
    </row>
    <row r="18" spans="1:55" ht="25.8" thickBot="1" x14ac:dyDescent="0.65">
      <c r="A18" s="64">
        <v>10</v>
      </c>
      <c r="B18" s="175" t="s">
        <v>19</v>
      </c>
      <c r="C18" s="176" t="s">
        <v>15</v>
      </c>
      <c r="D18" s="183">
        <v>41730</v>
      </c>
      <c r="E18" s="177">
        <v>6</v>
      </c>
      <c r="F18" s="177">
        <f t="shared" si="16"/>
        <v>3199.9800000000005</v>
      </c>
      <c r="G18" s="177">
        <f t="shared" si="1"/>
        <v>1913</v>
      </c>
      <c r="H18" s="178">
        <f t="shared" si="17"/>
        <v>5112.9800000000005</v>
      </c>
      <c r="I18" s="179">
        <v>9</v>
      </c>
      <c r="J18" s="72">
        <v>9</v>
      </c>
      <c r="L18" s="184">
        <v>46419</v>
      </c>
      <c r="M18" s="181"/>
      <c r="N18" s="182" t="str">
        <f t="shared" ca="1" si="40"/>
        <v>O.K.</v>
      </c>
      <c r="W18" s="1" t="s">
        <v>19</v>
      </c>
      <c r="X18" s="31">
        <v>485</v>
      </c>
      <c r="Y18" s="31">
        <v>150</v>
      </c>
      <c r="Z18" s="32">
        <v>132</v>
      </c>
      <c r="AA18" s="32">
        <v>150</v>
      </c>
      <c r="AB18" s="32">
        <v>96</v>
      </c>
      <c r="AC18" s="25">
        <v>96</v>
      </c>
      <c r="AD18" s="22">
        <f t="shared" si="18"/>
        <v>0</v>
      </c>
      <c r="AE18" s="43">
        <f>252+54</f>
        <v>306</v>
      </c>
      <c r="AF18" s="43">
        <f>+(0)+(0)+(0)+(0)+(54)+(54)</f>
        <v>108</v>
      </c>
      <c r="AG18" s="32">
        <v>150</v>
      </c>
      <c r="AH18" s="12">
        <f t="shared" si="35"/>
        <v>264</v>
      </c>
      <c r="AI18" s="43">
        <f t="shared" si="19"/>
        <v>0</v>
      </c>
      <c r="AJ18" s="43">
        <f>+(0)+(30)+(78)+(0)+(0)+(21)</f>
        <v>129</v>
      </c>
      <c r="AK18" s="32">
        <v>150</v>
      </c>
      <c r="AL18" s="25">
        <f t="shared" si="36"/>
        <v>243</v>
      </c>
      <c r="AM18" s="43">
        <f>+(0)+(120)+(0)+(0)+(0)+(0)</f>
        <v>120</v>
      </c>
      <c r="AN18" s="43">
        <f t="shared" si="20"/>
        <v>0</v>
      </c>
      <c r="AO18" s="59">
        <v>150</v>
      </c>
      <c r="AP18" s="62">
        <f t="shared" si="37"/>
        <v>213</v>
      </c>
      <c r="AQ18" s="65">
        <f>+(0)+(0)+(0)+(0)+(54)+(0)</f>
        <v>54</v>
      </c>
      <c r="AR18" s="65">
        <f>+(0)+(84)+(0)+(0)+(0)+(0)</f>
        <v>84</v>
      </c>
      <c r="AS18" s="118">
        <v>150</v>
      </c>
      <c r="AT18" s="62">
        <f t="shared" si="38"/>
        <v>201</v>
      </c>
      <c r="AU18" s="25">
        <f t="shared" si="41"/>
        <v>0</v>
      </c>
      <c r="AV18" s="25">
        <f>+(0)+(0)+(78)+(0)+(0)+(0)+(78)+(108)</f>
        <v>264</v>
      </c>
      <c r="AW18" s="51">
        <v>150</v>
      </c>
      <c r="AX18" s="51">
        <f t="shared" si="21"/>
        <v>315</v>
      </c>
      <c r="AY18" s="151">
        <f>+(0)+(0)+(0)+(210)</f>
        <v>210</v>
      </c>
      <c r="AZ18" s="151">
        <f>+(195.6)+(0)+(156)+(0)+(0)+(0)+(0)+(0)</f>
        <v>351.6</v>
      </c>
      <c r="BA18" s="207">
        <v>150</v>
      </c>
      <c r="BB18" s="207">
        <f t="shared" si="12"/>
        <v>726.6</v>
      </c>
      <c r="BC18" s="208">
        <f t="shared" si="22"/>
        <v>1913</v>
      </c>
    </row>
    <row r="19" spans="1:55" ht="25.8" thickBot="1" x14ac:dyDescent="0.65">
      <c r="A19" s="64">
        <v>11</v>
      </c>
      <c r="B19" s="196" t="s">
        <v>106</v>
      </c>
      <c r="C19" s="197" t="s">
        <v>26</v>
      </c>
      <c r="D19" s="205">
        <v>44621</v>
      </c>
      <c r="E19" s="198">
        <v>2</v>
      </c>
      <c r="F19" s="198">
        <f t="shared" ref="F19" si="42">+E19*$C$1</f>
        <v>1066.6600000000001</v>
      </c>
      <c r="G19" s="198">
        <f t="shared" ref="G19" si="43">+BC19</f>
        <v>457.2</v>
      </c>
      <c r="H19" s="199">
        <f t="shared" ref="H19" si="44">+F19+G19</f>
        <v>1523.8600000000001</v>
      </c>
      <c r="I19" s="200">
        <v>14</v>
      </c>
      <c r="J19" s="72">
        <v>14</v>
      </c>
      <c r="K19" s="144" t="s">
        <v>70</v>
      </c>
      <c r="L19" s="217">
        <v>46622</v>
      </c>
      <c r="M19" s="218"/>
      <c r="N19" s="195" t="str">
        <f t="shared" ca="1" si="40"/>
        <v>O.K.</v>
      </c>
      <c r="W19" s="1" t="s">
        <v>106</v>
      </c>
      <c r="X19" s="31">
        <v>0</v>
      </c>
      <c r="Y19" s="31">
        <v>0</v>
      </c>
      <c r="Z19" s="32">
        <v>0</v>
      </c>
      <c r="AA19" s="32">
        <v>0</v>
      </c>
      <c r="AB19" s="32">
        <v>0</v>
      </c>
      <c r="AC19" s="25">
        <v>0</v>
      </c>
      <c r="AD19" s="22">
        <f t="shared" si="18"/>
        <v>0</v>
      </c>
      <c r="AE19" s="43">
        <v>0</v>
      </c>
      <c r="AF19" s="43">
        <v>0</v>
      </c>
      <c r="AG19" s="32">
        <v>0</v>
      </c>
      <c r="AH19" s="12">
        <f t="shared" si="35"/>
        <v>0</v>
      </c>
      <c r="AI19" s="43">
        <v>0</v>
      </c>
      <c r="AJ19" s="43">
        <v>0</v>
      </c>
      <c r="AK19" s="32">
        <v>0</v>
      </c>
      <c r="AL19" s="25">
        <f t="shared" si="36"/>
        <v>0</v>
      </c>
      <c r="AM19" s="43">
        <f>+(0)+(0)+(0)+(0)+(0)+(97.2)</f>
        <v>97.2</v>
      </c>
      <c r="AN19" s="43">
        <f t="shared" si="20"/>
        <v>0</v>
      </c>
      <c r="AO19" s="59">
        <v>97.2</v>
      </c>
      <c r="AP19" s="62">
        <f t="shared" si="37"/>
        <v>0</v>
      </c>
      <c r="AQ19" s="65">
        <f>+(0)+(100)+(0)+(0)+(0)+(0)</f>
        <v>100</v>
      </c>
      <c r="AR19" s="65">
        <f>+(0)+(294)+(0)+(0)+(0)+(0)</f>
        <v>294</v>
      </c>
      <c r="AS19" s="118">
        <v>120</v>
      </c>
      <c r="AT19" s="62">
        <f t="shared" si="38"/>
        <v>274</v>
      </c>
      <c r="AU19" s="25">
        <f>+(0)+(0)+(0)+(78)</f>
        <v>78</v>
      </c>
      <c r="AV19" s="25">
        <f>+(0)+(0)+(0)+(0)+(0)+(0)+(0)+(186)</f>
        <v>186</v>
      </c>
      <c r="AW19" s="51">
        <v>120</v>
      </c>
      <c r="AX19" s="51">
        <f t="shared" si="21"/>
        <v>418</v>
      </c>
      <c r="AY19" s="151">
        <f t="shared" si="13"/>
        <v>0</v>
      </c>
      <c r="AZ19" s="151">
        <f>+(0)+(0)+(0)+(0)+(0)+(115.8)+(0)+(0)</f>
        <v>115.8</v>
      </c>
      <c r="BA19" s="207">
        <v>120</v>
      </c>
      <c r="BB19" s="207">
        <f t="shared" si="12"/>
        <v>413.79999999999995</v>
      </c>
      <c r="BC19" s="208">
        <f t="shared" si="22"/>
        <v>457.2</v>
      </c>
    </row>
    <row r="20" spans="1:55" ht="25.8" thickBot="1" x14ac:dyDescent="0.65">
      <c r="A20" s="64">
        <v>12</v>
      </c>
      <c r="B20" s="126" t="s">
        <v>56</v>
      </c>
      <c r="C20" s="127" t="s">
        <v>15</v>
      </c>
      <c r="D20" s="126" t="s">
        <v>57</v>
      </c>
      <c r="E20" s="130">
        <v>9</v>
      </c>
      <c r="F20" s="130">
        <f t="shared" si="16"/>
        <v>4799.97</v>
      </c>
      <c r="G20" s="130">
        <f t="shared" si="1"/>
        <v>2645.4</v>
      </c>
      <c r="H20" s="131">
        <f t="shared" si="17"/>
        <v>7445.3700000000008</v>
      </c>
      <c r="I20" s="132">
        <v>7</v>
      </c>
      <c r="J20" s="72">
        <v>7</v>
      </c>
      <c r="L20" s="136">
        <v>46311</v>
      </c>
      <c r="M20" s="124"/>
      <c r="N20" s="125" t="str">
        <f t="shared" ca="1" si="40"/>
        <v>O.K.</v>
      </c>
      <c r="W20" s="1" t="s">
        <v>56</v>
      </c>
      <c r="X20" s="31">
        <v>1326</v>
      </c>
      <c r="Y20" s="31">
        <v>150</v>
      </c>
      <c r="Z20" s="32">
        <v>96</v>
      </c>
      <c r="AA20" s="32">
        <v>96</v>
      </c>
      <c r="AB20" s="32">
        <v>150</v>
      </c>
      <c r="AC20" s="25">
        <v>240.6</v>
      </c>
      <c r="AD20" s="22">
        <f t="shared" si="18"/>
        <v>90.6</v>
      </c>
      <c r="AE20" s="43">
        <v>142.80000000000001</v>
      </c>
      <c r="AF20" s="43">
        <f>+(78)+(0)+(78)+(156)+(0)+(132)</f>
        <v>444</v>
      </c>
      <c r="AG20" s="32">
        <v>150</v>
      </c>
      <c r="AH20" s="12">
        <f t="shared" si="35"/>
        <v>527.4</v>
      </c>
      <c r="AI20" s="43">
        <f t="shared" si="19"/>
        <v>0</v>
      </c>
      <c r="AJ20" s="43">
        <f t="shared" si="19"/>
        <v>0</v>
      </c>
      <c r="AK20" s="32">
        <v>150</v>
      </c>
      <c r="AL20" s="25">
        <f t="shared" si="36"/>
        <v>377.4</v>
      </c>
      <c r="AM20" s="43">
        <f t="shared" si="20"/>
        <v>0</v>
      </c>
      <c r="AN20" s="43">
        <f t="shared" si="20"/>
        <v>0</v>
      </c>
      <c r="AO20" s="59">
        <v>150</v>
      </c>
      <c r="AP20" s="62">
        <f t="shared" si="37"/>
        <v>227.39999999999998</v>
      </c>
      <c r="AQ20" s="65">
        <f>+(0)+(0)+(0)+(0)+(54)+(0)</f>
        <v>54</v>
      </c>
      <c r="AR20" s="65">
        <f t="shared" si="10"/>
        <v>0</v>
      </c>
      <c r="AS20" s="118">
        <v>150</v>
      </c>
      <c r="AT20" s="62">
        <f t="shared" si="38"/>
        <v>131.39999999999998</v>
      </c>
      <c r="AU20" s="25">
        <f t="shared" si="41"/>
        <v>0</v>
      </c>
      <c r="AV20" s="25">
        <f>+(0)+(0)+(96)+(0)+(0)+(0)+(0)+(0)</f>
        <v>96</v>
      </c>
      <c r="AW20" s="25">
        <v>150</v>
      </c>
      <c r="AX20" s="25">
        <f t="shared" si="21"/>
        <v>77.399999999999977</v>
      </c>
      <c r="AY20" s="151">
        <f t="shared" si="13"/>
        <v>0</v>
      </c>
      <c r="AZ20" s="151">
        <f t="shared" si="14"/>
        <v>0</v>
      </c>
      <c r="BA20" s="207">
        <v>77.400000000000006</v>
      </c>
      <c r="BB20" s="207">
        <f t="shared" si="12"/>
        <v>0</v>
      </c>
      <c r="BC20" s="208">
        <f t="shared" si="22"/>
        <v>2645.4</v>
      </c>
    </row>
    <row r="21" spans="1:55" ht="25.8" thickBot="1" x14ac:dyDescent="0.65">
      <c r="A21" s="64">
        <v>13</v>
      </c>
      <c r="B21" s="73" t="s">
        <v>51</v>
      </c>
      <c r="C21" s="74" t="s">
        <v>21</v>
      </c>
      <c r="D21" s="73" t="s">
        <v>79</v>
      </c>
      <c r="E21" s="98">
        <v>9</v>
      </c>
      <c r="F21" s="76">
        <f t="shared" si="16"/>
        <v>4799.97</v>
      </c>
      <c r="G21" s="76">
        <f t="shared" si="1"/>
        <v>2532</v>
      </c>
      <c r="H21" s="77">
        <f t="shared" si="17"/>
        <v>7331.97</v>
      </c>
      <c r="I21" s="78">
        <v>6</v>
      </c>
      <c r="J21" s="72">
        <v>6</v>
      </c>
      <c r="L21" s="97">
        <v>45982</v>
      </c>
      <c r="M21" s="80"/>
      <c r="N21" s="81" t="str">
        <f t="shared" ca="1" si="40"/>
        <v>O.K.</v>
      </c>
      <c r="W21" s="1" t="s">
        <v>51</v>
      </c>
      <c r="X21" s="33">
        <v>1398</v>
      </c>
      <c r="Y21" s="31">
        <v>96</v>
      </c>
      <c r="Z21" s="32">
        <v>96</v>
      </c>
      <c r="AA21" s="32">
        <v>120</v>
      </c>
      <c r="AB21" s="32">
        <v>120</v>
      </c>
      <c r="AC21" s="25">
        <v>186</v>
      </c>
      <c r="AD21" s="22">
        <f t="shared" si="18"/>
        <v>66</v>
      </c>
      <c r="AE21" s="43">
        <v>54</v>
      </c>
      <c r="AF21" s="43">
        <f>+(78)+(0)+(156)+(54)+(0)+(54)</f>
        <v>342</v>
      </c>
      <c r="AG21" s="32">
        <v>120</v>
      </c>
      <c r="AH21" s="12">
        <f t="shared" si="35"/>
        <v>342</v>
      </c>
      <c r="AI21" s="43">
        <f t="shared" si="19"/>
        <v>0</v>
      </c>
      <c r="AJ21" s="43">
        <f t="shared" si="19"/>
        <v>0</v>
      </c>
      <c r="AK21" s="32">
        <v>120</v>
      </c>
      <c r="AL21" s="25">
        <f t="shared" si="36"/>
        <v>222</v>
      </c>
      <c r="AM21" s="43">
        <f t="shared" si="20"/>
        <v>0</v>
      </c>
      <c r="AN21" s="43">
        <f t="shared" si="20"/>
        <v>0</v>
      </c>
      <c r="AO21" s="59">
        <v>120</v>
      </c>
      <c r="AP21" s="62">
        <f t="shared" si="37"/>
        <v>102</v>
      </c>
      <c r="AQ21" s="65">
        <f t="shared" si="10"/>
        <v>0</v>
      </c>
      <c r="AR21" s="65">
        <f t="shared" si="10"/>
        <v>0</v>
      </c>
      <c r="AS21" s="118">
        <v>102</v>
      </c>
      <c r="AT21" s="62">
        <f t="shared" si="38"/>
        <v>0</v>
      </c>
      <c r="AU21" s="25">
        <f>+(0)+(0)+(0)+(78)</f>
        <v>78</v>
      </c>
      <c r="AV21" s="25">
        <f>+(0)+(0)+(96)+(0)+(0)+(0)+(0)+(0)</f>
        <v>96</v>
      </c>
      <c r="AW21" s="25">
        <v>120</v>
      </c>
      <c r="AX21" s="25">
        <f t="shared" si="21"/>
        <v>54</v>
      </c>
      <c r="AY21" s="151">
        <f>+(0)+(30)+(0)+(0)</f>
        <v>30</v>
      </c>
      <c r="AZ21" s="151">
        <f>+(0)+(0)+(0)+(78)+(0)+(0)+(0)+(0)</f>
        <v>78</v>
      </c>
      <c r="BA21" s="207">
        <v>120</v>
      </c>
      <c r="BB21" s="207">
        <f t="shared" si="12"/>
        <v>42</v>
      </c>
      <c r="BC21" s="208">
        <f t="shared" si="22"/>
        <v>2532</v>
      </c>
    </row>
    <row r="22" spans="1:55" ht="25.8" thickBot="1" x14ac:dyDescent="0.65">
      <c r="A22" s="64">
        <v>14</v>
      </c>
      <c r="B22" s="126" t="s">
        <v>167</v>
      </c>
      <c r="C22" s="127" t="s">
        <v>18</v>
      </c>
      <c r="D22" s="128">
        <v>45392</v>
      </c>
      <c r="E22" s="129">
        <v>0</v>
      </c>
      <c r="F22" s="130">
        <f t="shared" ref="F22" si="45">+E22*$C$1</f>
        <v>0</v>
      </c>
      <c r="G22" s="130">
        <f t="shared" ref="G22" si="46">+BC22</f>
        <v>0</v>
      </c>
      <c r="H22" s="131">
        <f t="shared" ref="H22" si="47">+F22+G22</f>
        <v>0</v>
      </c>
      <c r="I22" s="132">
        <v>15</v>
      </c>
      <c r="J22" s="72">
        <v>15</v>
      </c>
      <c r="L22" s="136">
        <v>46122</v>
      </c>
      <c r="M22" s="124"/>
      <c r="N22" s="125" t="str">
        <f t="shared" ca="1" si="40"/>
        <v>O.K.</v>
      </c>
      <c r="W22" s="1" t="s">
        <v>167</v>
      </c>
      <c r="X22" s="33">
        <v>0</v>
      </c>
      <c r="Y22" s="31">
        <v>0</v>
      </c>
      <c r="Z22" s="32">
        <v>0</v>
      </c>
      <c r="AA22" s="32">
        <v>0</v>
      </c>
      <c r="AB22" s="32">
        <v>0</v>
      </c>
      <c r="AC22" s="25">
        <v>0</v>
      </c>
      <c r="AD22" s="22">
        <f t="shared" si="18"/>
        <v>0</v>
      </c>
      <c r="AE22" s="43">
        <v>0</v>
      </c>
      <c r="AF22" s="43">
        <v>0</v>
      </c>
      <c r="AG22" s="32">
        <v>0</v>
      </c>
      <c r="AH22" s="12">
        <f t="shared" si="35"/>
        <v>0</v>
      </c>
      <c r="AI22" s="43">
        <v>0</v>
      </c>
      <c r="AJ22" s="43">
        <v>0</v>
      </c>
      <c r="AK22" s="32">
        <v>0</v>
      </c>
      <c r="AL22" s="25">
        <f t="shared" si="36"/>
        <v>0</v>
      </c>
      <c r="AM22" s="43">
        <v>0</v>
      </c>
      <c r="AN22" s="43">
        <v>0</v>
      </c>
      <c r="AO22" s="59">
        <v>0</v>
      </c>
      <c r="AP22" s="62">
        <f t="shared" si="37"/>
        <v>0</v>
      </c>
      <c r="AQ22" s="65">
        <v>0</v>
      </c>
      <c r="AR22" s="65">
        <v>0</v>
      </c>
      <c r="AS22" s="118">
        <v>0</v>
      </c>
      <c r="AT22" s="62">
        <f t="shared" si="38"/>
        <v>0</v>
      </c>
      <c r="AU22" s="25">
        <f t="shared" si="41"/>
        <v>0</v>
      </c>
      <c r="AV22" s="25">
        <f t="shared" ref="AV22:AV155" si="48">+(0)+(0)+(0)+(0)+(0)+(0)+(0)+(0)</f>
        <v>0</v>
      </c>
      <c r="AW22" s="25">
        <v>0</v>
      </c>
      <c r="AX22" s="25">
        <f t="shared" ref="AX22" si="49">+AT22+AU22+AV22-AW22</f>
        <v>0</v>
      </c>
      <c r="AY22" s="151">
        <f t="shared" si="13"/>
        <v>0</v>
      </c>
      <c r="AZ22" s="151">
        <f t="shared" si="14"/>
        <v>0</v>
      </c>
      <c r="BA22" s="207">
        <v>0</v>
      </c>
      <c r="BB22" s="207">
        <f t="shared" si="12"/>
        <v>0</v>
      </c>
      <c r="BC22" s="208">
        <f t="shared" si="22"/>
        <v>0</v>
      </c>
    </row>
    <row r="23" spans="1:55" ht="25.8" thickBot="1" x14ac:dyDescent="0.65">
      <c r="A23" s="64">
        <v>15</v>
      </c>
      <c r="B23" s="73" t="s">
        <v>147</v>
      </c>
      <c r="C23" s="74" t="s">
        <v>21</v>
      </c>
      <c r="D23" s="75">
        <v>45189</v>
      </c>
      <c r="E23" s="98">
        <v>0</v>
      </c>
      <c r="F23" s="76">
        <f t="shared" ref="F23:F24" si="50">+E23*$C$1</f>
        <v>0</v>
      </c>
      <c r="G23" s="76">
        <f t="shared" ref="G23:G24" si="51">+BC23</f>
        <v>0</v>
      </c>
      <c r="H23" s="77">
        <f t="shared" ref="H23:H24" si="52">+F23+G23</f>
        <v>0</v>
      </c>
      <c r="I23" s="78">
        <v>15</v>
      </c>
      <c r="J23" s="72">
        <v>15</v>
      </c>
      <c r="L23" s="97">
        <v>45920</v>
      </c>
      <c r="M23" s="80"/>
      <c r="N23" s="81" t="str">
        <f t="shared" ca="1" si="40"/>
        <v>O.K.</v>
      </c>
      <c r="W23" s="1" t="s">
        <v>147</v>
      </c>
      <c r="X23" s="33">
        <v>0</v>
      </c>
      <c r="Y23" s="31">
        <v>0</v>
      </c>
      <c r="Z23" s="32">
        <v>0</v>
      </c>
      <c r="AA23" s="32">
        <v>0</v>
      </c>
      <c r="AB23" s="32">
        <v>0</v>
      </c>
      <c r="AC23" s="25">
        <v>0</v>
      </c>
      <c r="AD23" s="22">
        <f t="shared" si="18"/>
        <v>0</v>
      </c>
      <c r="AE23" s="43">
        <v>0</v>
      </c>
      <c r="AF23" s="43">
        <v>0</v>
      </c>
      <c r="AG23" s="32">
        <v>0</v>
      </c>
      <c r="AH23" s="12">
        <f t="shared" si="35"/>
        <v>0</v>
      </c>
      <c r="AI23" s="43">
        <v>0</v>
      </c>
      <c r="AJ23" s="43">
        <v>0</v>
      </c>
      <c r="AK23" s="32">
        <v>0</v>
      </c>
      <c r="AL23" s="25">
        <f t="shared" si="36"/>
        <v>0</v>
      </c>
      <c r="AM23" s="43">
        <v>0</v>
      </c>
      <c r="AN23" s="43">
        <v>0</v>
      </c>
      <c r="AO23" s="59">
        <v>0</v>
      </c>
      <c r="AP23" s="62">
        <f t="shared" si="37"/>
        <v>0</v>
      </c>
      <c r="AQ23" s="65">
        <v>0</v>
      </c>
      <c r="AR23" s="65">
        <v>0</v>
      </c>
      <c r="AS23" s="118">
        <v>0</v>
      </c>
      <c r="AT23" s="62">
        <f t="shared" si="38"/>
        <v>0</v>
      </c>
      <c r="AU23" s="25">
        <f t="shared" si="41"/>
        <v>0</v>
      </c>
      <c r="AV23" s="25">
        <f t="shared" si="48"/>
        <v>0</v>
      </c>
      <c r="AW23" s="25">
        <v>0</v>
      </c>
      <c r="AX23" s="25">
        <f t="shared" si="21"/>
        <v>0</v>
      </c>
      <c r="AY23" s="151">
        <f t="shared" si="13"/>
        <v>0</v>
      </c>
      <c r="AZ23" s="151">
        <f t="shared" si="14"/>
        <v>0</v>
      </c>
      <c r="BA23" s="207">
        <v>0</v>
      </c>
      <c r="BB23" s="207">
        <f t="shared" si="12"/>
        <v>0</v>
      </c>
      <c r="BC23" s="208">
        <f t="shared" si="22"/>
        <v>0</v>
      </c>
    </row>
    <row r="24" spans="1:55" ht="25.8" thickBot="1" x14ac:dyDescent="0.65">
      <c r="A24" s="64">
        <v>16</v>
      </c>
      <c r="B24" s="175" t="s">
        <v>158</v>
      </c>
      <c r="C24" s="176" t="s">
        <v>15</v>
      </c>
      <c r="D24" s="183">
        <v>44705</v>
      </c>
      <c r="E24" s="187">
        <v>2</v>
      </c>
      <c r="F24" s="177">
        <f t="shared" si="50"/>
        <v>1066.6600000000001</v>
      </c>
      <c r="G24" s="177">
        <f t="shared" si="51"/>
        <v>1002</v>
      </c>
      <c r="H24" s="178">
        <f t="shared" si="52"/>
        <v>2068.66</v>
      </c>
      <c r="I24" s="179">
        <v>13</v>
      </c>
      <c r="J24" s="72">
        <v>13</v>
      </c>
      <c r="L24" s="184">
        <v>46455</v>
      </c>
      <c r="M24" s="181"/>
      <c r="N24" s="182" t="str">
        <f t="shared" ca="1" si="40"/>
        <v>O.K.</v>
      </c>
      <c r="W24" s="1" t="s">
        <v>158</v>
      </c>
      <c r="X24" s="66">
        <v>570</v>
      </c>
      <c r="Y24" s="31">
        <v>0</v>
      </c>
      <c r="Z24" s="32">
        <v>0</v>
      </c>
      <c r="AA24" s="32">
        <v>0</v>
      </c>
      <c r="AB24" s="32">
        <v>0</v>
      </c>
      <c r="AC24" s="25">
        <v>0</v>
      </c>
      <c r="AD24" s="22">
        <f t="shared" si="18"/>
        <v>0</v>
      </c>
      <c r="AE24" s="43">
        <v>0</v>
      </c>
      <c r="AF24" s="43">
        <v>0</v>
      </c>
      <c r="AG24" s="32">
        <v>0</v>
      </c>
      <c r="AH24" s="12">
        <f t="shared" si="35"/>
        <v>0</v>
      </c>
      <c r="AI24" s="43">
        <v>0</v>
      </c>
      <c r="AJ24" s="43">
        <v>0</v>
      </c>
      <c r="AK24" s="32">
        <v>0</v>
      </c>
      <c r="AL24" s="25">
        <f t="shared" si="36"/>
        <v>0</v>
      </c>
      <c r="AM24" s="43">
        <v>0</v>
      </c>
      <c r="AN24" s="43">
        <v>0</v>
      </c>
      <c r="AO24" s="134">
        <v>0</v>
      </c>
      <c r="AP24" s="118">
        <f t="shared" si="37"/>
        <v>0</v>
      </c>
      <c r="AQ24" s="65">
        <f>+(0)+(78)+(0)+(0)+(54)+(0)</f>
        <v>132</v>
      </c>
      <c r="AR24" s="65">
        <f t="shared" ref="AR24" si="53">+(0)+(0)+(0)+(0)+(0)+(0)</f>
        <v>0</v>
      </c>
      <c r="AS24" s="118">
        <v>132</v>
      </c>
      <c r="AT24" s="118">
        <f t="shared" si="38"/>
        <v>0</v>
      </c>
      <c r="AU24" s="25">
        <f>+(0)+(0)+(0)+(270)</f>
        <v>270</v>
      </c>
      <c r="AV24" s="25">
        <f>+(120)+(108)+(0)+(0)+(0)+(54)+(30)+(108)</f>
        <v>420</v>
      </c>
      <c r="AW24" s="51">
        <v>150</v>
      </c>
      <c r="AX24" s="51">
        <f t="shared" si="21"/>
        <v>540</v>
      </c>
      <c r="AY24" s="151">
        <f t="shared" si="13"/>
        <v>0</v>
      </c>
      <c r="AZ24" s="151">
        <f>+(0)+(0)+(408)+(0)+(0)+(0)+(0)+(0)</f>
        <v>408</v>
      </c>
      <c r="BA24" s="207">
        <v>150</v>
      </c>
      <c r="BB24" s="207">
        <f t="shared" si="12"/>
        <v>798</v>
      </c>
      <c r="BC24" s="208">
        <f t="shared" si="22"/>
        <v>1002</v>
      </c>
    </row>
    <row r="25" spans="1:55" ht="25.8" thickBot="1" x14ac:dyDescent="0.65">
      <c r="A25" s="64">
        <v>17</v>
      </c>
      <c r="B25" s="175" t="s">
        <v>200</v>
      </c>
      <c r="C25" s="176" t="s">
        <v>21</v>
      </c>
      <c r="D25" s="183">
        <v>45803</v>
      </c>
      <c r="E25" s="187">
        <v>0</v>
      </c>
      <c r="F25" s="177">
        <f t="shared" ref="F25" si="54">+E25*$C$1</f>
        <v>0</v>
      </c>
      <c r="G25" s="177">
        <f t="shared" ref="G25" si="55">+BC25</f>
        <v>0</v>
      </c>
      <c r="H25" s="178">
        <f t="shared" ref="H25" si="56">+F25+G25</f>
        <v>0</v>
      </c>
      <c r="I25" s="179">
        <v>15</v>
      </c>
      <c r="J25" s="72">
        <v>15</v>
      </c>
      <c r="L25" s="184">
        <v>46533</v>
      </c>
      <c r="M25" s="181"/>
      <c r="N25" s="182" t="str">
        <f t="shared" ca="1" si="40"/>
        <v>O.K.</v>
      </c>
      <c r="W25" s="1" t="s">
        <v>200</v>
      </c>
      <c r="X25" s="33"/>
      <c r="Y25" s="31"/>
      <c r="Z25" s="32"/>
      <c r="AA25" s="32"/>
      <c r="AB25" s="32"/>
      <c r="AC25" s="25"/>
      <c r="AD25" s="22"/>
      <c r="AE25" s="43"/>
      <c r="AF25" s="43"/>
      <c r="AG25" s="32"/>
      <c r="AH25" s="12"/>
      <c r="AI25" s="43"/>
      <c r="AJ25" s="43"/>
      <c r="AK25" s="32"/>
      <c r="AL25" s="25"/>
      <c r="AM25" s="43"/>
      <c r="AN25" s="43"/>
      <c r="AO25" s="134"/>
      <c r="AP25" s="118"/>
      <c r="AQ25" s="65"/>
      <c r="AR25" s="65"/>
      <c r="AS25" s="118"/>
      <c r="AT25" s="118"/>
      <c r="AU25" s="25"/>
      <c r="AV25" s="25"/>
      <c r="AW25" s="51"/>
      <c r="AX25" s="51"/>
      <c r="AY25" s="151">
        <f t="shared" si="13"/>
        <v>0</v>
      </c>
      <c r="AZ25" s="151">
        <f t="shared" si="14"/>
        <v>0</v>
      </c>
      <c r="BA25" s="207">
        <v>0</v>
      </c>
      <c r="BB25" s="207">
        <f t="shared" si="12"/>
        <v>0</v>
      </c>
      <c r="BC25" s="208">
        <f t="shared" si="22"/>
        <v>0</v>
      </c>
    </row>
    <row r="26" spans="1:55" ht="25.8" thickBot="1" x14ac:dyDescent="0.65">
      <c r="A26" s="64">
        <v>18</v>
      </c>
      <c r="B26" s="175" t="s">
        <v>157</v>
      </c>
      <c r="C26" s="176" t="s">
        <v>13</v>
      </c>
      <c r="D26" s="183">
        <v>45257</v>
      </c>
      <c r="E26" s="187">
        <v>1</v>
      </c>
      <c r="F26" s="177">
        <f t="shared" ref="F26" si="57">+E26*$C$1</f>
        <v>533.33000000000004</v>
      </c>
      <c r="G26" s="177">
        <f t="shared" ref="G26" si="58">+BC26</f>
        <v>240</v>
      </c>
      <c r="H26" s="178">
        <f t="shared" ref="H26" si="59">+F26+G26</f>
        <v>773.33</v>
      </c>
      <c r="I26" s="179">
        <v>14</v>
      </c>
      <c r="J26" s="72">
        <v>14</v>
      </c>
      <c r="L26" s="180">
        <v>46434</v>
      </c>
      <c r="M26" s="181"/>
      <c r="N26" s="182" t="str">
        <f t="shared" ca="1" si="40"/>
        <v>O.K.</v>
      </c>
      <c r="W26" s="1" t="s">
        <v>157</v>
      </c>
      <c r="X26" s="33">
        <v>0</v>
      </c>
      <c r="Y26" s="31">
        <v>0</v>
      </c>
      <c r="Z26" s="32">
        <v>0</v>
      </c>
      <c r="AA26" s="32">
        <v>0</v>
      </c>
      <c r="AB26" s="32">
        <v>0</v>
      </c>
      <c r="AC26" s="25">
        <v>0</v>
      </c>
      <c r="AD26" s="22">
        <f t="shared" si="18"/>
        <v>0</v>
      </c>
      <c r="AE26" s="43">
        <v>0</v>
      </c>
      <c r="AF26" s="43">
        <v>0</v>
      </c>
      <c r="AG26" s="32">
        <v>0</v>
      </c>
      <c r="AH26" s="12">
        <f t="shared" si="35"/>
        <v>0</v>
      </c>
      <c r="AI26" s="43">
        <v>0</v>
      </c>
      <c r="AJ26" s="43">
        <v>0</v>
      </c>
      <c r="AK26" s="32">
        <v>0</v>
      </c>
      <c r="AL26" s="25">
        <f t="shared" si="36"/>
        <v>0</v>
      </c>
      <c r="AM26" s="43">
        <v>0</v>
      </c>
      <c r="AN26" s="43">
        <v>0</v>
      </c>
      <c r="AO26" s="59">
        <v>0</v>
      </c>
      <c r="AP26" s="62">
        <f t="shared" si="37"/>
        <v>0</v>
      </c>
      <c r="AQ26" s="65">
        <v>0</v>
      </c>
      <c r="AR26" s="65">
        <v>0</v>
      </c>
      <c r="AS26" s="118">
        <v>0</v>
      </c>
      <c r="AT26" s="62">
        <f t="shared" si="38"/>
        <v>0</v>
      </c>
      <c r="AU26" s="25">
        <f t="shared" si="41"/>
        <v>0</v>
      </c>
      <c r="AV26" s="25">
        <f>+(0)+(0)+(96)+(0)+(0)+(0)+(78)+(0)</f>
        <v>174</v>
      </c>
      <c r="AW26" s="25">
        <v>120</v>
      </c>
      <c r="AX26" s="25">
        <f t="shared" ref="AX26" si="60">+AT26+AU26+AV26-AW26</f>
        <v>54</v>
      </c>
      <c r="AY26" s="151">
        <f>+(0)+(0)+(0)+(78)</f>
        <v>78</v>
      </c>
      <c r="AZ26" s="151">
        <f>+(0)+(78)+(0)+(0)+(0)+(0)+(0)+(0)</f>
        <v>78</v>
      </c>
      <c r="BA26" s="207">
        <v>120</v>
      </c>
      <c r="BB26" s="207">
        <f t="shared" si="12"/>
        <v>90</v>
      </c>
      <c r="BC26" s="208">
        <f t="shared" si="22"/>
        <v>240</v>
      </c>
    </row>
    <row r="27" spans="1:55" ht="25.8" thickBot="1" x14ac:dyDescent="0.65">
      <c r="A27" s="64">
        <v>19</v>
      </c>
      <c r="B27" s="175" t="s">
        <v>189</v>
      </c>
      <c r="C27" s="176" t="s">
        <v>15</v>
      </c>
      <c r="D27" s="183">
        <v>45733</v>
      </c>
      <c r="E27" s="187">
        <v>0</v>
      </c>
      <c r="F27" s="177">
        <f t="shared" ref="F27" si="61">+E27*$C$1</f>
        <v>0</v>
      </c>
      <c r="G27" s="177">
        <f t="shared" ref="G27" si="62">+BC27</f>
        <v>0</v>
      </c>
      <c r="H27" s="178">
        <f t="shared" ref="H27" si="63">+F27+G27</f>
        <v>0</v>
      </c>
      <c r="I27" s="179">
        <v>15</v>
      </c>
      <c r="J27" s="72">
        <v>15</v>
      </c>
      <c r="L27" s="184">
        <v>46463</v>
      </c>
      <c r="M27" s="181"/>
      <c r="N27" s="182" t="str">
        <f t="shared" ref="N27" ca="1" si="64">IF($B$2&lt;L27,"O.K.","A L E R T A ")</f>
        <v>O.K.</v>
      </c>
      <c r="W27" s="1" t="s">
        <v>189</v>
      </c>
      <c r="X27" s="33"/>
      <c r="Y27" s="31"/>
      <c r="Z27" s="32"/>
      <c r="AA27" s="32"/>
      <c r="AB27" s="32"/>
      <c r="AC27" s="25"/>
      <c r="AD27" s="22"/>
      <c r="AE27" s="43"/>
      <c r="AF27" s="43"/>
      <c r="AG27" s="32"/>
      <c r="AH27" s="12"/>
      <c r="AI27" s="43"/>
      <c r="AJ27" s="43"/>
      <c r="AK27" s="32"/>
      <c r="AL27" s="25"/>
      <c r="AM27" s="43"/>
      <c r="AN27" s="43"/>
      <c r="AO27" s="59"/>
      <c r="AP27" s="62"/>
      <c r="AQ27" s="65"/>
      <c r="AR27" s="65"/>
      <c r="AS27" s="118"/>
      <c r="AT27" s="62"/>
      <c r="AU27" s="25"/>
      <c r="AV27" s="25"/>
      <c r="AW27" s="25"/>
      <c r="AX27" s="25"/>
      <c r="AY27" s="151">
        <f t="shared" si="13"/>
        <v>0</v>
      </c>
      <c r="AZ27" s="151">
        <f t="shared" si="14"/>
        <v>0</v>
      </c>
      <c r="BA27" s="207">
        <v>0</v>
      </c>
      <c r="BB27" s="207">
        <f t="shared" ref="BB27" si="65">(AX27+AY27+AZ27)-BA27</f>
        <v>0</v>
      </c>
      <c r="BC27" s="208">
        <f t="shared" ref="BC27" si="66">SUM(X27:AA27)+AB27+AG27+AK27+AO27+AS27+AW27+BA27</f>
        <v>0</v>
      </c>
    </row>
    <row r="28" spans="1:55" ht="25.8" thickBot="1" x14ac:dyDescent="0.65">
      <c r="A28" s="64">
        <v>20</v>
      </c>
      <c r="B28" s="126" t="s">
        <v>137</v>
      </c>
      <c r="C28" s="127" t="s">
        <v>15</v>
      </c>
      <c r="D28" s="128">
        <v>41640</v>
      </c>
      <c r="E28" s="130">
        <v>5</v>
      </c>
      <c r="F28" s="130">
        <f t="shared" si="16"/>
        <v>2666.65</v>
      </c>
      <c r="G28" s="130">
        <f t="shared" ref="G28:G29" si="67">+BC28</f>
        <v>1674</v>
      </c>
      <c r="H28" s="131">
        <f t="shared" ref="H28" si="68">+F28+G28</f>
        <v>4340.6499999999996</v>
      </c>
      <c r="I28" s="132">
        <v>10</v>
      </c>
      <c r="J28" s="72">
        <v>10</v>
      </c>
      <c r="L28" s="133">
        <v>46023</v>
      </c>
      <c r="M28" s="124"/>
      <c r="N28" s="125" t="str">
        <f t="shared" ca="1" si="40"/>
        <v>O.K.</v>
      </c>
      <c r="W28" s="1" t="s">
        <v>137</v>
      </c>
      <c r="X28" s="31">
        <v>300</v>
      </c>
      <c r="Y28" s="31">
        <v>150</v>
      </c>
      <c r="Z28" s="32">
        <v>96</v>
      </c>
      <c r="AA28" s="32">
        <v>150</v>
      </c>
      <c r="AB28" s="32">
        <v>78</v>
      </c>
      <c r="AC28" s="25">
        <v>78</v>
      </c>
      <c r="AD28" s="22">
        <f t="shared" si="18"/>
        <v>0</v>
      </c>
      <c r="AE28" s="43">
        <v>37.799999999999997</v>
      </c>
      <c r="AF28" s="43">
        <f>+(0)+(30)+(0)+(156)+(0)+(132)</f>
        <v>318</v>
      </c>
      <c r="AG28" s="32">
        <v>150</v>
      </c>
      <c r="AH28" s="12">
        <f t="shared" si="35"/>
        <v>205.8</v>
      </c>
      <c r="AI28" s="43">
        <f>+(0)+(0)+(78)+(0)+(0)+(0)</f>
        <v>78</v>
      </c>
      <c r="AJ28" s="43">
        <f t="shared" ref="AJ28" si="69">+(0)+(0)+(0)+(0)+(0)+(0)</f>
        <v>0</v>
      </c>
      <c r="AK28" s="32">
        <v>150</v>
      </c>
      <c r="AL28" s="25">
        <f t="shared" si="36"/>
        <v>133.80000000000001</v>
      </c>
      <c r="AM28" s="43">
        <f t="shared" ref="AM28" si="70">+(0)+(0)+(0)+(0)+(0)+(0)</f>
        <v>0</v>
      </c>
      <c r="AN28" s="43">
        <f>+(96)+(60)+(54)+(0)+(108)+(0)</f>
        <v>318</v>
      </c>
      <c r="AO28" s="59">
        <v>150</v>
      </c>
      <c r="AP28" s="62">
        <f t="shared" si="37"/>
        <v>301.8</v>
      </c>
      <c r="AQ28" s="65">
        <f t="shared" si="10"/>
        <v>0</v>
      </c>
      <c r="AR28" s="65">
        <f>+(360)+(108)+(0)+(0)+(0)+(0)</f>
        <v>468</v>
      </c>
      <c r="AS28" s="118">
        <v>150</v>
      </c>
      <c r="AT28" s="62">
        <f t="shared" si="38"/>
        <v>619.79999999999995</v>
      </c>
      <c r="AU28" s="25">
        <f>+(0)+(0)+(0)+(78)</f>
        <v>78</v>
      </c>
      <c r="AV28" s="25">
        <f>+(0)+(0)+(108)+(0)+(0)+(0)+(282)+(0)</f>
        <v>390</v>
      </c>
      <c r="AW28" s="25">
        <v>150</v>
      </c>
      <c r="AX28" s="25">
        <f t="shared" si="21"/>
        <v>937.8</v>
      </c>
      <c r="AY28" s="151">
        <f>+(0)+(0)+(0)+(108)</f>
        <v>108</v>
      </c>
      <c r="AZ28" s="151">
        <f>+(0)+(0)+(0)+(108)+(0)+(0)+(0)+(0)</f>
        <v>108</v>
      </c>
      <c r="BA28" s="207">
        <v>150</v>
      </c>
      <c r="BB28" s="207">
        <f t="shared" si="12"/>
        <v>1003.8</v>
      </c>
      <c r="BC28" s="208">
        <f t="shared" si="22"/>
        <v>1674</v>
      </c>
    </row>
    <row r="29" spans="1:55" ht="25.8" thickBot="1" x14ac:dyDescent="0.65">
      <c r="A29" s="64">
        <v>21</v>
      </c>
      <c r="B29" s="126" t="s">
        <v>116</v>
      </c>
      <c r="C29" s="127" t="s">
        <v>26</v>
      </c>
      <c r="D29" s="128">
        <v>44742</v>
      </c>
      <c r="E29" s="129">
        <v>1</v>
      </c>
      <c r="F29" s="130">
        <f t="shared" ref="F29" si="71">+E29*$C$1</f>
        <v>533.33000000000004</v>
      </c>
      <c r="G29" s="130">
        <f t="shared" si="67"/>
        <v>298</v>
      </c>
      <c r="H29" s="131">
        <f t="shared" ref="H29" si="72">+F29+G29</f>
        <v>831.33</v>
      </c>
      <c r="I29" s="132">
        <v>14</v>
      </c>
      <c r="J29" s="72">
        <v>14</v>
      </c>
      <c r="L29" s="136">
        <v>46203</v>
      </c>
      <c r="M29" s="124"/>
      <c r="N29" s="125" t="str">
        <f t="shared" ca="1" si="40"/>
        <v>O.K.</v>
      </c>
      <c r="W29" s="1" t="s">
        <v>116</v>
      </c>
      <c r="X29" s="33">
        <v>0</v>
      </c>
      <c r="Y29" s="31">
        <v>0</v>
      </c>
      <c r="Z29" s="32">
        <v>0</v>
      </c>
      <c r="AA29" s="32">
        <v>0</v>
      </c>
      <c r="AB29" s="32">
        <v>0</v>
      </c>
      <c r="AC29" s="25">
        <v>0</v>
      </c>
      <c r="AD29" s="22">
        <f t="shared" si="18"/>
        <v>0</v>
      </c>
      <c r="AE29" s="43">
        <v>0</v>
      </c>
      <c r="AF29" s="43">
        <v>0</v>
      </c>
      <c r="AG29" s="32">
        <v>0</v>
      </c>
      <c r="AH29" s="12">
        <f t="shared" si="35"/>
        <v>0</v>
      </c>
      <c r="AI29" s="43">
        <v>0</v>
      </c>
      <c r="AJ29" s="43">
        <v>0</v>
      </c>
      <c r="AK29" s="32">
        <v>0</v>
      </c>
      <c r="AL29" s="25">
        <f t="shared" si="36"/>
        <v>0</v>
      </c>
      <c r="AM29" s="43">
        <f t="shared" si="20"/>
        <v>0</v>
      </c>
      <c r="AN29" s="43">
        <f t="shared" si="20"/>
        <v>0</v>
      </c>
      <c r="AO29" s="59">
        <v>0</v>
      </c>
      <c r="AP29" s="62">
        <f t="shared" si="37"/>
        <v>0</v>
      </c>
      <c r="AQ29" s="65">
        <f>+(0)+(100)+(0)+(0)+(0)+(0)</f>
        <v>100</v>
      </c>
      <c r="AR29" s="65">
        <f>+(0)+(120)+(0)+(0)+(0)+(0)</f>
        <v>120</v>
      </c>
      <c r="AS29" s="118">
        <v>120</v>
      </c>
      <c r="AT29" s="62">
        <f t="shared" si="38"/>
        <v>100</v>
      </c>
      <c r="AU29" s="25">
        <f>+(0)+(0)+(0)+(78)</f>
        <v>78</v>
      </c>
      <c r="AV29" s="25">
        <f t="shared" si="48"/>
        <v>0</v>
      </c>
      <c r="AW29" s="25">
        <v>120</v>
      </c>
      <c r="AX29" s="25">
        <f t="shared" si="21"/>
        <v>58</v>
      </c>
      <c r="AY29" s="151">
        <f t="shared" si="13"/>
        <v>0</v>
      </c>
      <c r="AZ29" s="151">
        <f t="shared" si="14"/>
        <v>0</v>
      </c>
      <c r="BA29" s="207">
        <v>58</v>
      </c>
      <c r="BB29" s="207">
        <f t="shared" si="12"/>
        <v>0</v>
      </c>
      <c r="BC29" s="208">
        <f t="shared" si="22"/>
        <v>298</v>
      </c>
    </row>
    <row r="30" spans="1:55" ht="25.8" thickBot="1" x14ac:dyDescent="0.65">
      <c r="A30" s="64">
        <v>22</v>
      </c>
      <c r="B30" s="126" t="s">
        <v>78</v>
      </c>
      <c r="C30" s="127" t="s">
        <v>15</v>
      </c>
      <c r="D30" s="128">
        <v>42491</v>
      </c>
      <c r="E30" s="130">
        <v>5</v>
      </c>
      <c r="F30" s="130">
        <f t="shared" si="16"/>
        <v>2666.65</v>
      </c>
      <c r="G30" s="130">
        <f t="shared" si="1"/>
        <v>1428</v>
      </c>
      <c r="H30" s="131">
        <f t="shared" si="17"/>
        <v>4094.65</v>
      </c>
      <c r="I30" s="132">
        <v>11</v>
      </c>
      <c r="J30" s="72">
        <v>11</v>
      </c>
      <c r="L30" s="133">
        <v>46349</v>
      </c>
      <c r="M30" s="124"/>
      <c r="N30" s="125" t="str">
        <f t="shared" ref="N30:N45" ca="1" si="73">IF($B$2&lt;L30,"O.K.","A L E R T A ")</f>
        <v>O.K.</v>
      </c>
      <c r="W30" s="1" t="s">
        <v>78</v>
      </c>
      <c r="X30" s="31">
        <v>0</v>
      </c>
      <c r="Y30" s="31">
        <v>150</v>
      </c>
      <c r="Z30" s="32">
        <v>150</v>
      </c>
      <c r="AA30" s="32">
        <v>132</v>
      </c>
      <c r="AB30" s="32">
        <v>96</v>
      </c>
      <c r="AC30" s="25">
        <v>96</v>
      </c>
      <c r="AD30" s="22">
        <f t="shared" si="18"/>
        <v>0</v>
      </c>
      <c r="AE30" s="43">
        <f>118.8+145.2</f>
        <v>264</v>
      </c>
      <c r="AF30" s="43">
        <f>+(0)+(0)+(0)+(108)+(54)+(162)</f>
        <v>324</v>
      </c>
      <c r="AG30" s="32">
        <v>150</v>
      </c>
      <c r="AH30" s="12">
        <f t="shared" si="35"/>
        <v>438</v>
      </c>
      <c r="AI30" s="43">
        <f t="shared" si="19"/>
        <v>0</v>
      </c>
      <c r="AJ30" s="43">
        <f>+(78)+(0)+(0)+(0)+(78)+(0)</f>
        <v>156</v>
      </c>
      <c r="AK30" s="32">
        <v>150</v>
      </c>
      <c r="AL30" s="25">
        <f t="shared" si="36"/>
        <v>444</v>
      </c>
      <c r="AM30" s="43">
        <f t="shared" si="20"/>
        <v>0</v>
      </c>
      <c r="AN30" s="43">
        <f>+(0)+(0)+(0)+(0)+(0)+(96)</f>
        <v>96</v>
      </c>
      <c r="AO30" s="59">
        <v>150</v>
      </c>
      <c r="AP30" s="62">
        <f t="shared" si="37"/>
        <v>390</v>
      </c>
      <c r="AQ30" s="65">
        <f>+(0)+(0)+(0)+(0)+(54)+(0)</f>
        <v>54</v>
      </c>
      <c r="AR30" s="65">
        <f>+(189)+(0)+(0)+(0)+(0)+(0)</f>
        <v>189</v>
      </c>
      <c r="AS30" s="118">
        <v>150</v>
      </c>
      <c r="AT30" s="62">
        <f t="shared" si="38"/>
        <v>483</v>
      </c>
      <c r="AU30" s="25">
        <f t="shared" si="41"/>
        <v>0</v>
      </c>
      <c r="AV30" s="25">
        <f t="shared" si="48"/>
        <v>0</v>
      </c>
      <c r="AW30" s="25">
        <v>150</v>
      </c>
      <c r="AX30" s="25">
        <f t="shared" si="21"/>
        <v>333</v>
      </c>
      <c r="AY30" s="151">
        <f>+(0)+(0)+(0)+(132)</f>
        <v>132</v>
      </c>
      <c r="AZ30" s="151">
        <f>+(54)+(0)+(0)+(0)+(0)+(0)+(0)+(0)</f>
        <v>54</v>
      </c>
      <c r="BA30" s="207">
        <v>150</v>
      </c>
      <c r="BB30" s="207">
        <f t="shared" si="12"/>
        <v>369</v>
      </c>
      <c r="BC30" s="208">
        <f t="shared" si="22"/>
        <v>1428</v>
      </c>
    </row>
    <row r="31" spans="1:55" ht="25.8" thickBot="1" x14ac:dyDescent="0.65">
      <c r="A31" s="64">
        <v>23</v>
      </c>
      <c r="B31" s="175" t="s">
        <v>82</v>
      </c>
      <c r="C31" s="176" t="s">
        <v>26</v>
      </c>
      <c r="D31" s="183">
        <v>44621</v>
      </c>
      <c r="E31" s="177">
        <v>3</v>
      </c>
      <c r="F31" s="177">
        <f t="shared" si="16"/>
        <v>1599.9900000000002</v>
      </c>
      <c r="G31" s="177">
        <f t="shared" si="1"/>
        <v>651</v>
      </c>
      <c r="H31" s="178">
        <f t="shared" si="17"/>
        <v>2250.9900000000002</v>
      </c>
      <c r="I31" s="179">
        <v>13</v>
      </c>
      <c r="J31" s="72">
        <v>13</v>
      </c>
      <c r="L31" s="184">
        <v>46507</v>
      </c>
      <c r="M31" s="181"/>
      <c r="N31" s="182" t="str">
        <f t="shared" ca="1" si="73"/>
        <v>O.K.</v>
      </c>
      <c r="W31" s="1" t="s">
        <v>82</v>
      </c>
      <c r="X31" s="61">
        <v>171</v>
      </c>
      <c r="Y31" s="31">
        <v>0</v>
      </c>
      <c r="Z31" s="32">
        <v>0</v>
      </c>
      <c r="AA31" s="32">
        <v>0</v>
      </c>
      <c r="AB31" s="32">
        <v>0</v>
      </c>
      <c r="AC31" s="25">
        <v>0</v>
      </c>
      <c r="AD31" s="22">
        <f t="shared" si="18"/>
        <v>0</v>
      </c>
      <c r="AE31" s="43">
        <v>0</v>
      </c>
      <c r="AF31" s="43">
        <v>0</v>
      </c>
      <c r="AG31" s="32">
        <v>0</v>
      </c>
      <c r="AH31" s="12">
        <f t="shared" si="35"/>
        <v>0</v>
      </c>
      <c r="AI31" s="43">
        <v>0</v>
      </c>
      <c r="AJ31" s="43">
        <v>0</v>
      </c>
      <c r="AK31" s="32">
        <v>0</v>
      </c>
      <c r="AL31" s="25">
        <f t="shared" si="36"/>
        <v>0</v>
      </c>
      <c r="AM31" s="43">
        <f>+(0)+(0)+(0)+(0)+(30)+(0)</f>
        <v>30</v>
      </c>
      <c r="AN31" s="43">
        <f>+(0)+(96)+(0)+(0)+(0)+(0)</f>
        <v>96</v>
      </c>
      <c r="AO31" s="59">
        <v>120</v>
      </c>
      <c r="AP31" s="62">
        <f t="shared" si="37"/>
        <v>6</v>
      </c>
      <c r="AQ31" s="65">
        <f t="shared" ref="AQ31:AR155" si="74">+(0)+(0)+(0)+(0)+(0)+(0)</f>
        <v>0</v>
      </c>
      <c r="AR31" s="65">
        <f>+(0)+(240)+(0)+(0)+(0)+(0)</f>
        <v>240</v>
      </c>
      <c r="AS31" s="118">
        <v>120</v>
      </c>
      <c r="AT31" s="62">
        <f t="shared" si="38"/>
        <v>126</v>
      </c>
      <c r="AU31" s="25">
        <f t="shared" si="41"/>
        <v>0</v>
      </c>
      <c r="AV31" s="25">
        <f>+(0)+(0)+(120)+(0)+(0)+(0)+(0)+(0)</f>
        <v>120</v>
      </c>
      <c r="AW31" s="25">
        <v>120</v>
      </c>
      <c r="AX31" s="25">
        <f t="shared" si="21"/>
        <v>126</v>
      </c>
      <c r="AY31" s="151">
        <f t="shared" si="13"/>
        <v>0</v>
      </c>
      <c r="AZ31" s="151">
        <f t="shared" si="14"/>
        <v>0</v>
      </c>
      <c r="BA31" s="207">
        <v>120</v>
      </c>
      <c r="BB31" s="207">
        <f t="shared" si="12"/>
        <v>6</v>
      </c>
      <c r="BC31" s="208">
        <f t="shared" si="22"/>
        <v>651</v>
      </c>
    </row>
    <row r="32" spans="1:55" ht="25.8" thickBot="1" x14ac:dyDescent="0.65">
      <c r="A32" s="64">
        <v>24</v>
      </c>
      <c r="B32" s="126" t="s">
        <v>107</v>
      </c>
      <c r="C32" s="127" t="s">
        <v>15</v>
      </c>
      <c r="D32" s="128">
        <v>44621</v>
      </c>
      <c r="E32" s="130">
        <v>2</v>
      </c>
      <c r="F32" s="130">
        <f t="shared" si="16"/>
        <v>1066.6600000000001</v>
      </c>
      <c r="G32" s="130">
        <f t="shared" si="1"/>
        <v>1621.2</v>
      </c>
      <c r="H32" s="131">
        <f t="shared" si="17"/>
        <v>2687.86</v>
      </c>
      <c r="I32" s="132">
        <v>12</v>
      </c>
      <c r="J32" s="72">
        <v>12</v>
      </c>
      <c r="L32" s="133">
        <v>46357</v>
      </c>
      <c r="M32" s="124"/>
      <c r="N32" s="125" t="str">
        <f t="shared" ca="1" si="73"/>
        <v>O.K.</v>
      </c>
      <c r="W32" s="1" t="s">
        <v>107</v>
      </c>
      <c r="X32" s="61">
        <v>1021.2</v>
      </c>
      <c r="Y32" s="31">
        <v>0</v>
      </c>
      <c r="Z32" s="32">
        <v>0</v>
      </c>
      <c r="AA32" s="32">
        <v>0</v>
      </c>
      <c r="AB32" s="32">
        <v>0</v>
      </c>
      <c r="AC32" s="25">
        <v>0</v>
      </c>
      <c r="AD32" s="22">
        <f t="shared" si="18"/>
        <v>0</v>
      </c>
      <c r="AE32" s="43">
        <v>0</v>
      </c>
      <c r="AF32" s="43">
        <v>0</v>
      </c>
      <c r="AG32" s="32">
        <v>0</v>
      </c>
      <c r="AH32" s="12">
        <f t="shared" si="35"/>
        <v>0</v>
      </c>
      <c r="AI32" s="43">
        <v>0</v>
      </c>
      <c r="AJ32" s="43">
        <v>0</v>
      </c>
      <c r="AK32" s="32">
        <v>0</v>
      </c>
      <c r="AL32" s="25">
        <f t="shared" si="36"/>
        <v>0</v>
      </c>
      <c r="AM32" s="43">
        <f t="shared" si="20"/>
        <v>0</v>
      </c>
      <c r="AN32" s="43">
        <f>+(0)+(0)+(0)+(0)+(0)+(192)</f>
        <v>192</v>
      </c>
      <c r="AO32" s="59">
        <v>150</v>
      </c>
      <c r="AP32" s="62">
        <f t="shared" si="37"/>
        <v>42</v>
      </c>
      <c r="AQ32" s="65">
        <f>+(0)+(0)+(0)+(0)+(54)+(0)</f>
        <v>54</v>
      </c>
      <c r="AR32" s="65">
        <f>+(186)+(0)+(0)+(0)+(0)+(0)</f>
        <v>186</v>
      </c>
      <c r="AS32" s="118">
        <v>150</v>
      </c>
      <c r="AT32" s="62">
        <f t="shared" si="38"/>
        <v>132</v>
      </c>
      <c r="AU32" s="25">
        <f>+(0)+(0)+(30)+(0)</f>
        <v>30</v>
      </c>
      <c r="AV32" s="25">
        <f>+(120)+(0)+(174)+(54.6)+(37.8)+(120)+(0)+(0)</f>
        <v>506.40000000000003</v>
      </c>
      <c r="AW32" s="25">
        <v>150</v>
      </c>
      <c r="AX32" s="25">
        <f t="shared" si="21"/>
        <v>518.40000000000009</v>
      </c>
      <c r="AY32" s="151">
        <f>+(0)+(0)+(0)+(108)</f>
        <v>108</v>
      </c>
      <c r="AZ32" s="151">
        <f>+(0)+(0)+(0)+(0)+(0)+(30)+(0)+(0)</f>
        <v>30</v>
      </c>
      <c r="BA32" s="207">
        <v>150</v>
      </c>
      <c r="BB32" s="207">
        <f t="shared" si="12"/>
        <v>506.40000000000009</v>
      </c>
      <c r="BC32" s="208">
        <f t="shared" si="22"/>
        <v>1621.2</v>
      </c>
    </row>
    <row r="33" spans="1:55" ht="25.8" thickBot="1" x14ac:dyDescent="0.65">
      <c r="A33" s="64">
        <v>25</v>
      </c>
      <c r="B33" s="175" t="s">
        <v>22</v>
      </c>
      <c r="C33" s="176" t="s">
        <v>23</v>
      </c>
      <c r="D33" s="183">
        <v>42037</v>
      </c>
      <c r="E33" s="177">
        <v>5</v>
      </c>
      <c r="F33" s="177">
        <f t="shared" si="16"/>
        <v>2666.65</v>
      </c>
      <c r="G33" s="177">
        <f t="shared" si="1"/>
        <v>1128</v>
      </c>
      <c r="H33" s="178">
        <f t="shared" si="17"/>
        <v>3794.65</v>
      </c>
      <c r="I33" s="179">
        <v>11</v>
      </c>
      <c r="J33" s="72">
        <v>11</v>
      </c>
      <c r="L33" s="184">
        <v>46420</v>
      </c>
      <c r="M33" s="181"/>
      <c r="N33" s="182" t="str">
        <f t="shared" ca="1" si="73"/>
        <v>O.K.</v>
      </c>
      <c r="O33" s="9"/>
      <c r="P33" s="9"/>
      <c r="Q33" s="9"/>
      <c r="R33" s="9"/>
      <c r="S33" s="9"/>
      <c r="T33" s="9"/>
      <c r="U33" s="9"/>
      <c r="W33" s="1" t="s">
        <v>22</v>
      </c>
      <c r="X33" s="31">
        <v>0</v>
      </c>
      <c r="Y33" s="31">
        <v>96</v>
      </c>
      <c r="Z33" s="32">
        <v>96</v>
      </c>
      <c r="AA33" s="32">
        <v>96</v>
      </c>
      <c r="AB33" s="32">
        <v>120</v>
      </c>
      <c r="AC33" s="25">
        <v>306.60000000000002</v>
      </c>
      <c r="AD33" s="22">
        <f t="shared" si="18"/>
        <v>186.60000000000002</v>
      </c>
      <c r="AE33" s="43">
        <v>78</v>
      </c>
      <c r="AF33" s="43">
        <f>+(78)+(0)+(0)+(0)+(0)+(54)</f>
        <v>132</v>
      </c>
      <c r="AG33" s="32">
        <v>120</v>
      </c>
      <c r="AH33" s="12">
        <f t="shared" si="35"/>
        <v>276.60000000000002</v>
      </c>
      <c r="AI33" s="43">
        <f t="shared" si="19"/>
        <v>0</v>
      </c>
      <c r="AJ33" s="43">
        <f>+(78)+(0)+(0)+(0)+(78)+(0)</f>
        <v>156</v>
      </c>
      <c r="AK33" s="32">
        <v>120</v>
      </c>
      <c r="AL33" s="25">
        <f t="shared" si="36"/>
        <v>312.60000000000002</v>
      </c>
      <c r="AM33" s="43">
        <f t="shared" si="20"/>
        <v>0</v>
      </c>
      <c r="AN33" s="43">
        <f t="shared" si="20"/>
        <v>0</v>
      </c>
      <c r="AO33" s="59">
        <v>120</v>
      </c>
      <c r="AP33" s="62">
        <f t="shared" si="37"/>
        <v>192.60000000000002</v>
      </c>
      <c r="AQ33" s="65">
        <f>+(0)+(0)+(0)+(0)+(54)+(0)</f>
        <v>54</v>
      </c>
      <c r="AR33" s="65">
        <f>+(12)+(108)+(0)+(0)+(0)+(0)</f>
        <v>120</v>
      </c>
      <c r="AS33" s="118">
        <v>120</v>
      </c>
      <c r="AT33" s="62">
        <f t="shared" si="38"/>
        <v>246.60000000000002</v>
      </c>
      <c r="AU33" s="25">
        <f t="shared" si="41"/>
        <v>0</v>
      </c>
      <c r="AV33" s="25">
        <f t="shared" si="48"/>
        <v>0</v>
      </c>
      <c r="AW33" s="25">
        <v>120</v>
      </c>
      <c r="AX33" s="25">
        <f t="shared" si="21"/>
        <v>126.60000000000002</v>
      </c>
      <c r="AY33" s="151">
        <f t="shared" si="13"/>
        <v>0</v>
      </c>
      <c r="AZ33" s="151">
        <f>+(0)+(0)+(78)+(0)+(0)+(0)+(0)+(0)</f>
        <v>78</v>
      </c>
      <c r="BA33" s="207">
        <v>120</v>
      </c>
      <c r="BB33" s="207">
        <f t="shared" si="12"/>
        <v>84.600000000000023</v>
      </c>
      <c r="BC33" s="208">
        <f t="shared" si="22"/>
        <v>1128</v>
      </c>
    </row>
    <row r="34" spans="1:55" ht="25.8" thickBot="1" x14ac:dyDescent="0.65">
      <c r="A34" s="64">
        <v>26</v>
      </c>
      <c r="B34" s="175" t="s">
        <v>64</v>
      </c>
      <c r="C34" s="176" t="s">
        <v>26</v>
      </c>
      <c r="D34" s="175" t="s">
        <v>65</v>
      </c>
      <c r="E34" s="177">
        <v>6</v>
      </c>
      <c r="F34" s="177">
        <f t="shared" si="16"/>
        <v>3199.9800000000005</v>
      </c>
      <c r="G34" s="177">
        <f t="shared" si="1"/>
        <v>1446</v>
      </c>
      <c r="H34" s="178">
        <f t="shared" si="17"/>
        <v>4645.9800000000005</v>
      </c>
      <c r="I34" s="179">
        <v>9</v>
      </c>
      <c r="J34" s="72">
        <v>9</v>
      </c>
      <c r="L34" s="180">
        <v>46415</v>
      </c>
      <c r="M34" s="181"/>
      <c r="N34" s="182" t="str">
        <f t="shared" ca="1" si="73"/>
        <v>O.K.</v>
      </c>
      <c r="W34" s="1" t="s">
        <v>64</v>
      </c>
      <c r="X34" s="31">
        <v>270</v>
      </c>
      <c r="Y34" s="31">
        <v>120</v>
      </c>
      <c r="Z34" s="32">
        <v>96</v>
      </c>
      <c r="AA34" s="32">
        <v>120</v>
      </c>
      <c r="AB34" s="32">
        <v>120</v>
      </c>
      <c r="AC34" s="25">
        <v>234</v>
      </c>
      <c r="AD34" s="22">
        <f t="shared" si="18"/>
        <v>114</v>
      </c>
      <c r="AE34" s="43">
        <f>54+132</f>
        <v>186</v>
      </c>
      <c r="AF34" s="43">
        <f>+(0)+(162)+(156)+(0)+(0)+(156)</f>
        <v>474</v>
      </c>
      <c r="AG34" s="32">
        <v>120</v>
      </c>
      <c r="AH34" s="12">
        <f t="shared" si="35"/>
        <v>654</v>
      </c>
      <c r="AI34" s="43">
        <f t="shared" si="19"/>
        <v>0</v>
      </c>
      <c r="AJ34" s="43">
        <f>+(0)+(0)+(0)+(0)+(132)+(54)</f>
        <v>186</v>
      </c>
      <c r="AK34" s="32">
        <v>120</v>
      </c>
      <c r="AL34" s="25">
        <f t="shared" si="36"/>
        <v>720</v>
      </c>
      <c r="AM34" s="43">
        <f t="shared" si="20"/>
        <v>0</v>
      </c>
      <c r="AN34" s="43">
        <f>+(0)+(0)+(0)+(0)+(54)+(0)</f>
        <v>54</v>
      </c>
      <c r="AO34" s="59">
        <v>120</v>
      </c>
      <c r="AP34" s="62">
        <f t="shared" si="37"/>
        <v>654</v>
      </c>
      <c r="AQ34" s="65">
        <f t="shared" si="74"/>
        <v>0</v>
      </c>
      <c r="AR34" s="65">
        <f t="shared" si="74"/>
        <v>0</v>
      </c>
      <c r="AS34" s="118">
        <v>120</v>
      </c>
      <c r="AT34" s="62">
        <f t="shared" si="38"/>
        <v>534</v>
      </c>
      <c r="AU34" s="25">
        <f t="shared" si="41"/>
        <v>0</v>
      </c>
      <c r="AV34" s="25">
        <f t="shared" si="48"/>
        <v>0</v>
      </c>
      <c r="AW34" s="25">
        <v>120</v>
      </c>
      <c r="AX34" s="25">
        <f t="shared" si="21"/>
        <v>414</v>
      </c>
      <c r="AY34" s="151">
        <f t="shared" si="13"/>
        <v>0</v>
      </c>
      <c r="AZ34" s="151">
        <f>+(0)+(30)+(21)+(108)+(0)+(0)+(0)+(0)</f>
        <v>159</v>
      </c>
      <c r="BA34" s="207">
        <v>120</v>
      </c>
      <c r="BB34" s="207">
        <f t="shared" si="12"/>
        <v>453</v>
      </c>
      <c r="BC34" s="208">
        <f t="shared" si="22"/>
        <v>1446</v>
      </c>
    </row>
    <row r="35" spans="1:55" ht="25.8" thickBot="1" x14ac:dyDescent="0.65">
      <c r="A35" s="64">
        <v>27</v>
      </c>
      <c r="B35" s="126" t="s">
        <v>24</v>
      </c>
      <c r="C35" s="127" t="s">
        <v>21</v>
      </c>
      <c r="D35" s="128">
        <v>41821</v>
      </c>
      <c r="E35" s="130">
        <v>5</v>
      </c>
      <c r="F35" s="130">
        <f t="shared" si="16"/>
        <v>2666.65</v>
      </c>
      <c r="G35" s="130">
        <f t="shared" si="1"/>
        <v>1114.8</v>
      </c>
      <c r="H35" s="131">
        <f t="shared" si="17"/>
        <v>3781.45</v>
      </c>
      <c r="I35" s="132">
        <v>11</v>
      </c>
      <c r="J35" s="72">
        <v>11</v>
      </c>
      <c r="L35" s="133">
        <v>46204</v>
      </c>
      <c r="M35" s="124"/>
      <c r="N35" s="125" t="str">
        <f t="shared" ca="1" si="73"/>
        <v>O.K.</v>
      </c>
      <c r="W35" s="1" t="s">
        <v>24</v>
      </c>
      <c r="X35" s="31">
        <v>120</v>
      </c>
      <c r="Y35" s="31">
        <v>96</v>
      </c>
      <c r="Z35" s="32">
        <v>96</v>
      </c>
      <c r="AA35" s="32">
        <v>115.8</v>
      </c>
      <c r="AB35" s="32">
        <v>78</v>
      </c>
      <c r="AC35" s="25">
        <v>78</v>
      </c>
      <c r="AD35" s="22">
        <f t="shared" si="18"/>
        <v>0</v>
      </c>
      <c r="AE35" s="43">
        <v>0</v>
      </c>
      <c r="AF35" s="43">
        <f>+(0)+(78)+(0)+(0)+(0)+(108)</f>
        <v>186</v>
      </c>
      <c r="AG35" s="32">
        <v>120</v>
      </c>
      <c r="AH35" s="12">
        <f t="shared" si="35"/>
        <v>66</v>
      </c>
      <c r="AI35" s="43">
        <f t="shared" si="19"/>
        <v>0</v>
      </c>
      <c r="AJ35" s="43">
        <f>+(78)+(0)+(0)+(0)+(0)+(0)</f>
        <v>78</v>
      </c>
      <c r="AK35" s="32">
        <v>120</v>
      </c>
      <c r="AL35" s="25">
        <f t="shared" si="36"/>
        <v>24</v>
      </c>
      <c r="AM35" s="43">
        <f>+(0)+(0)+(0)+(0)+(30)+(0)</f>
        <v>30</v>
      </c>
      <c r="AN35" s="43">
        <f t="shared" si="20"/>
        <v>0</v>
      </c>
      <c r="AO35" s="59">
        <v>54</v>
      </c>
      <c r="AP35" s="62">
        <f t="shared" si="37"/>
        <v>0</v>
      </c>
      <c r="AQ35" s="65">
        <f t="shared" si="74"/>
        <v>0</v>
      </c>
      <c r="AR35" s="65">
        <f>+(0)+(120)+(0)+(0)+(0)+(0)</f>
        <v>120</v>
      </c>
      <c r="AS35" s="118">
        <v>120</v>
      </c>
      <c r="AT35" s="62">
        <f t="shared" si="38"/>
        <v>0</v>
      </c>
      <c r="AU35" s="25">
        <f>+(0)+(0)+(0)+(78)</f>
        <v>78</v>
      </c>
      <c r="AV35" s="25">
        <f>+(0)+(0)+(96)+(0)+(0)+(0)+(0)+(0)</f>
        <v>96</v>
      </c>
      <c r="AW35" s="25">
        <v>120</v>
      </c>
      <c r="AX35" s="25">
        <f t="shared" si="21"/>
        <v>54</v>
      </c>
      <c r="AY35" s="151">
        <f>+(0)+(21)+(0)+(0)</f>
        <v>21</v>
      </c>
      <c r="AZ35" s="151">
        <f t="shared" si="14"/>
        <v>0</v>
      </c>
      <c r="BA35" s="207">
        <v>75</v>
      </c>
      <c r="BB35" s="207">
        <f t="shared" si="12"/>
        <v>0</v>
      </c>
      <c r="BC35" s="208">
        <f t="shared" si="22"/>
        <v>1114.8</v>
      </c>
    </row>
    <row r="36" spans="1:55" ht="25.8" thickBot="1" x14ac:dyDescent="0.65">
      <c r="A36" s="64">
        <v>28</v>
      </c>
      <c r="B36" s="175" t="s">
        <v>139</v>
      </c>
      <c r="C36" s="176" t="s">
        <v>15</v>
      </c>
      <c r="D36" s="183">
        <v>45069</v>
      </c>
      <c r="E36" s="177">
        <v>1</v>
      </c>
      <c r="F36" s="177">
        <f t="shared" si="16"/>
        <v>533.33000000000004</v>
      </c>
      <c r="G36" s="177">
        <f t="shared" si="1"/>
        <v>300</v>
      </c>
      <c r="H36" s="178">
        <f t="shared" si="17"/>
        <v>833.33</v>
      </c>
      <c r="I36" s="179">
        <v>15</v>
      </c>
      <c r="J36" s="72">
        <v>15</v>
      </c>
      <c r="L36" s="184">
        <v>46530</v>
      </c>
      <c r="M36" s="181"/>
      <c r="N36" s="182" t="str">
        <f t="shared" ca="1" si="73"/>
        <v>O.K.</v>
      </c>
      <c r="W36" s="1" t="s">
        <v>139</v>
      </c>
      <c r="X36" s="31">
        <v>0</v>
      </c>
      <c r="Y36" s="31">
        <v>0</v>
      </c>
      <c r="Z36" s="32">
        <v>0</v>
      </c>
      <c r="AA36" s="32">
        <v>0</v>
      </c>
      <c r="AB36" s="32">
        <v>0</v>
      </c>
      <c r="AC36" s="25">
        <v>0</v>
      </c>
      <c r="AD36" s="22">
        <f t="shared" si="18"/>
        <v>0</v>
      </c>
      <c r="AE36" s="43">
        <v>0</v>
      </c>
      <c r="AF36" s="43">
        <v>0</v>
      </c>
      <c r="AG36" s="32">
        <v>0</v>
      </c>
      <c r="AH36" s="12">
        <f t="shared" si="35"/>
        <v>0</v>
      </c>
      <c r="AI36" s="43">
        <v>0</v>
      </c>
      <c r="AJ36" s="43">
        <v>0</v>
      </c>
      <c r="AK36" s="32">
        <v>0</v>
      </c>
      <c r="AL36" s="25">
        <f t="shared" si="36"/>
        <v>0</v>
      </c>
      <c r="AM36" s="43">
        <v>0</v>
      </c>
      <c r="AN36" s="43">
        <v>0</v>
      </c>
      <c r="AO36" s="59">
        <v>0</v>
      </c>
      <c r="AP36" s="62">
        <f t="shared" si="37"/>
        <v>0</v>
      </c>
      <c r="AQ36" s="65">
        <f t="shared" si="74"/>
        <v>0</v>
      </c>
      <c r="AR36" s="65">
        <f t="shared" si="74"/>
        <v>0</v>
      </c>
      <c r="AS36" s="118">
        <v>0</v>
      </c>
      <c r="AT36" s="62">
        <f t="shared" si="38"/>
        <v>0</v>
      </c>
      <c r="AU36" s="25">
        <f t="shared" si="41"/>
        <v>0</v>
      </c>
      <c r="AV36" s="25">
        <f>+(0)+(0)+(174)+(0)+(0)+(0)+(0)+(0)</f>
        <v>174</v>
      </c>
      <c r="AW36" s="25">
        <v>150</v>
      </c>
      <c r="AX36" s="25">
        <f t="shared" si="21"/>
        <v>24</v>
      </c>
      <c r="AY36" s="151">
        <f>+(0)+(0)+(0)+(132)</f>
        <v>132</v>
      </c>
      <c r="AZ36" s="151">
        <f t="shared" si="14"/>
        <v>0</v>
      </c>
      <c r="BA36" s="207">
        <v>150</v>
      </c>
      <c r="BB36" s="207">
        <f t="shared" si="12"/>
        <v>6</v>
      </c>
      <c r="BC36" s="208">
        <f t="shared" si="22"/>
        <v>300</v>
      </c>
    </row>
    <row r="37" spans="1:55" ht="25.8" thickBot="1" x14ac:dyDescent="0.65">
      <c r="A37" s="64">
        <v>29</v>
      </c>
      <c r="B37" s="175" t="s">
        <v>58</v>
      </c>
      <c r="C37" s="176" t="s">
        <v>13</v>
      </c>
      <c r="D37" s="183">
        <v>42947</v>
      </c>
      <c r="E37" s="177">
        <v>4</v>
      </c>
      <c r="F37" s="177">
        <f t="shared" si="16"/>
        <v>2133.3200000000002</v>
      </c>
      <c r="G37" s="177">
        <f t="shared" ref="G37:G59" si="75">+BC37</f>
        <v>960</v>
      </c>
      <c r="H37" s="178">
        <f t="shared" si="17"/>
        <v>3093.32</v>
      </c>
      <c r="I37" s="179">
        <v>11</v>
      </c>
      <c r="J37" s="72">
        <v>11</v>
      </c>
      <c r="L37" s="180">
        <v>46599</v>
      </c>
      <c r="M37" s="181"/>
      <c r="N37" s="182" t="str">
        <f t="shared" ca="1" si="73"/>
        <v>O.K.</v>
      </c>
      <c r="W37" s="1" t="s">
        <v>58</v>
      </c>
      <c r="X37" s="34">
        <v>0</v>
      </c>
      <c r="Y37" s="31">
        <v>0</v>
      </c>
      <c r="Z37" s="32">
        <v>0</v>
      </c>
      <c r="AA37" s="32">
        <v>120</v>
      </c>
      <c r="AB37" s="32">
        <v>120</v>
      </c>
      <c r="AC37" s="25">
        <v>210.6</v>
      </c>
      <c r="AD37" s="22">
        <f t="shared" si="18"/>
        <v>90.6</v>
      </c>
      <c r="AE37" s="43">
        <v>197.4</v>
      </c>
      <c r="AF37" s="43">
        <f>+(0)+(156)+(0)+(0)+(0)+(54)</f>
        <v>210</v>
      </c>
      <c r="AG37" s="32">
        <v>120</v>
      </c>
      <c r="AH37" s="12">
        <f t="shared" si="35"/>
        <v>378</v>
      </c>
      <c r="AI37" s="43">
        <f>+(0)+(0)+(0)+(0)+(0)+(0)</f>
        <v>0</v>
      </c>
      <c r="AJ37" s="43">
        <f>+(54.6)+(0)+(0)+(0)+(78)+(0)</f>
        <v>132.6</v>
      </c>
      <c r="AK37" s="32">
        <v>120</v>
      </c>
      <c r="AL37" s="25">
        <f t="shared" si="36"/>
        <v>390.6</v>
      </c>
      <c r="AM37" s="43">
        <f t="shared" si="20"/>
        <v>0</v>
      </c>
      <c r="AN37" s="43">
        <f t="shared" si="20"/>
        <v>0</v>
      </c>
      <c r="AO37" s="59">
        <v>120</v>
      </c>
      <c r="AP37" s="62">
        <f t="shared" si="37"/>
        <v>270.60000000000002</v>
      </c>
      <c r="AQ37" s="65">
        <f>+(0)+(0)+(0)+(0)+(0)+(162)</f>
        <v>162</v>
      </c>
      <c r="AR37" s="65">
        <f>+(0)+(108)+(0)+(0)+(0)+(0)</f>
        <v>108</v>
      </c>
      <c r="AS37" s="118">
        <v>120</v>
      </c>
      <c r="AT37" s="62">
        <f t="shared" si="38"/>
        <v>420.6</v>
      </c>
      <c r="AU37" s="25">
        <f>+(0)+(0)+(0)+(78)</f>
        <v>78</v>
      </c>
      <c r="AV37" s="25">
        <f>+(0)+(0)+(96)+(0)+(0)+(0)+(0)+(0)</f>
        <v>96</v>
      </c>
      <c r="AW37" s="25">
        <v>120</v>
      </c>
      <c r="AX37" s="25">
        <f t="shared" ref="AX37:AX103" si="76">+AT37+AU37+AV37-AW37</f>
        <v>474.6</v>
      </c>
      <c r="AY37" s="151">
        <f t="shared" si="13"/>
        <v>0</v>
      </c>
      <c r="AZ37" s="151">
        <f t="shared" si="14"/>
        <v>0</v>
      </c>
      <c r="BA37" s="207">
        <v>120</v>
      </c>
      <c r="BB37" s="207">
        <f t="shared" si="12"/>
        <v>354.6</v>
      </c>
      <c r="BC37" s="208">
        <f t="shared" si="22"/>
        <v>960</v>
      </c>
    </row>
    <row r="38" spans="1:55" ht="25.8" thickBot="1" x14ac:dyDescent="0.65">
      <c r="A38" s="64">
        <v>30</v>
      </c>
      <c r="B38" s="86" t="s">
        <v>25</v>
      </c>
      <c r="C38" s="87" t="s">
        <v>15</v>
      </c>
      <c r="D38" s="88">
        <v>33444</v>
      </c>
      <c r="E38" s="89">
        <v>15</v>
      </c>
      <c r="F38" s="89">
        <f t="shared" si="16"/>
        <v>7999.9500000000007</v>
      </c>
      <c r="G38" s="90">
        <f>+BC38</f>
        <v>3172</v>
      </c>
      <c r="H38" s="91">
        <f t="shared" si="17"/>
        <v>11171.95</v>
      </c>
      <c r="I38" s="96">
        <v>2</v>
      </c>
      <c r="J38" s="72">
        <v>2</v>
      </c>
      <c r="L38" s="92"/>
      <c r="M38" s="93"/>
      <c r="N38" s="94" t="s">
        <v>16</v>
      </c>
      <c r="W38" s="1" t="s">
        <v>25</v>
      </c>
      <c r="X38" s="31">
        <v>1870</v>
      </c>
      <c r="Y38" s="31">
        <v>96</v>
      </c>
      <c r="Z38" s="32">
        <v>96</v>
      </c>
      <c r="AA38" s="32">
        <v>120</v>
      </c>
      <c r="AB38" s="32">
        <v>120</v>
      </c>
      <c r="AC38" s="25">
        <v>504</v>
      </c>
      <c r="AD38" s="22">
        <f t="shared" si="18"/>
        <v>384</v>
      </c>
      <c r="AE38" s="43">
        <v>78</v>
      </c>
      <c r="AF38" s="43">
        <f>+(0)+(0)+(0)+(0)+(0)+(54)</f>
        <v>54</v>
      </c>
      <c r="AG38" s="32">
        <v>120</v>
      </c>
      <c r="AH38" s="12">
        <f t="shared" si="35"/>
        <v>396</v>
      </c>
      <c r="AI38" s="43">
        <f>+(0)+(0)+(0)+(0)+(0)+(78)</f>
        <v>78</v>
      </c>
      <c r="AJ38" s="43">
        <f>+(0)+(0)+(78)+(0)+(0)+(0)</f>
        <v>78</v>
      </c>
      <c r="AK38" s="32">
        <v>150</v>
      </c>
      <c r="AL38" s="25">
        <f t="shared" si="36"/>
        <v>402</v>
      </c>
      <c r="AM38" s="43">
        <f>+(0)+(0)+(0)+(0)+(30)+(108)</f>
        <v>138</v>
      </c>
      <c r="AN38" s="43">
        <f>+(0)+(0)+(0)+(0)+(0)+(96)</f>
        <v>96</v>
      </c>
      <c r="AO38" s="59">
        <v>150</v>
      </c>
      <c r="AP38" s="62">
        <f t="shared" si="37"/>
        <v>486</v>
      </c>
      <c r="AQ38" s="65">
        <f t="shared" si="74"/>
        <v>0</v>
      </c>
      <c r="AR38" s="65">
        <f t="shared" si="74"/>
        <v>0</v>
      </c>
      <c r="AS38" s="118">
        <v>150</v>
      </c>
      <c r="AT38" s="62">
        <f t="shared" si="38"/>
        <v>336</v>
      </c>
      <c r="AU38" s="25">
        <f>+(0)+(0)+(0)+(78)</f>
        <v>78</v>
      </c>
      <c r="AV38" s="25">
        <f>+(0)+(0)+(0)+(61.2)+(30)+(54)+(30)+(51)</f>
        <v>226.2</v>
      </c>
      <c r="AW38" s="51">
        <v>150</v>
      </c>
      <c r="AX38" s="51">
        <f t="shared" si="76"/>
        <v>490.20000000000005</v>
      </c>
      <c r="AY38" s="151">
        <f>+(0)+(120)+(0)+(0)</f>
        <v>120</v>
      </c>
      <c r="AZ38" s="151">
        <f>+(0)+(0)+(0)+(72)+(0)+(30)+(0)+(0)</f>
        <v>102</v>
      </c>
      <c r="BA38" s="207">
        <v>150</v>
      </c>
      <c r="BB38" s="207">
        <f t="shared" si="12"/>
        <v>562.20000000000005</v>
      </c>
      <c r="BC38" s="208">
        <f t="shared" si="22"/>
        <v>3172</v>
      </c>
    </row>
    <row r="39" spans="1:55" ht="25.8" thickBot="1" x14ac:dyDescent="0.65">
      <c r="A39" s="64">
        <v>31</v>
      </c>
      <c r="B39" s="175" t="s">
        <v>150</v>
      </c>
      <c r="C39" s="176" t="s">
        <v>21</v>
      </c>
      <c r="D39" s="183">
        <v>45133</v>
      </c>
      <c r="E39" s="177">
        <v>1</v>
      </c>
      <c r="F39" s="177">
        <f t="shared" si="16"/>
        <v>533.33000000000004</v>
      </c>
      <c r="G39" s="216">
        <f>+BC39</f>
        <v>156</v>
      </c>
      <c r="H39" s="178">
        <f t="shared" ref="H39" si="77">+F39+G39</f>
        <v>689.33</v>
      </c>
      <c r="I39" s="179">
        <v>15</v>
      </c>
      <c r="J39" s="72">
        <v>15</v>
      </c>
      <c r="L39" s="184">
        <v>46594</v>
      </c>
      <c r="M39" s="181"/>
      <c r="N39" s="182" t="str">
        <f t="shared" ca="1" si="73"/>
        <v>O.K.</v>
      </c>
      <c r="W39" s="1" t="s">
        <v>150</v>
      </c>
      <c r="X39" s="31">
        <v>0</v>
      </c>
      <c r="Y39" s="31">
        <v>0</v>
      </c>
      <c r="Z39" s="32">
        <v>0</v>
      </c>
      <c r="AA39" s="32">
        <v>0</v>
      </c>
      <c r="AB39" s="32">
        <v>0</v>
      </c>
      <c r="AC39" s="25">
        <v>0</v>
      </c>
      <c r="AD39" s="22">
        <f t="shared" si="18"/>
        <v>0</v>
      </c>
      <c r="AE39" s="43">
        <v>0</v>
      </c>
      <c r="AF39" s="43">
        <v>0</v>
      </c>
      <c r="AG39" s="32">
        <v>0</v>
      </c>
      <c r="AH39" s="12">
        <f t="shared" si="35"/>
        <v>0</v>
      </c>
      <c r="AI39" s="43">
        <v>0</v>
      </c>
      <c r="AJ39" s="43">
        <v>0</v>
      </c>
      <c r="AK39" s="32">
        <v>0</v>
      </c>
      <c r="AL39" s="25">
        <f t="shared" si="36"/>
        <v>0</v>
      </c>
      <c r="AM39" s="43">
        <v>0</v>
      </c>
      <c r="AN39" s="43">
        <v>0</v>
      </c>
      <c r="AO39" s="59">
        <v>0</v>
      </c>
      <c r="AP39" s="62">
        <f t="shared" si="37"/>
        <v>0</v>
      </c>
      <c r="AQ39" s="65">
        <f t="shared" si="74"/>
        <v>0</v>
      </c>
      <c r="AR39" s="65">
        <f t="shared" si="74"/>
        <v>0</v>
      </c>
      <c r="AS39" s="118">
        <v>0</v>
      </c>
      <c r="AT39" s="62">
        <f t="shared" si="38"/>
        <v>0</v>
      </c>
      <c r="AU39" s="25">
        <f t="shared" si="41"/>
        <v>0</v>
      </c>
      <c r="AV39" s="25">
        <f>+(0)+(0)+(96)+(0)+(0)+(0)+(0)+(30)</f>
        <v>126</v>
      </c>
      <c r="AW39" s="51">
        <v>120</v>
      </c>
      <c r="AX39" s="51">
        <f t="shared" si="76"/>
        <v>6</v>
      </c>
      <c r="AY39" s="151">
        <f>+(0)+(30)+(0)+(0)</f>
        <v>30</v>
      </c>
      <c r="AZ39" s="151">
        <f t="shared" si="14"/>
        <v>0</v>
      </c>
      <c r="BA39" s="207">
        <v>36</v>
      </c>
      <c r="BB39" s="207">
        <f t="shared" si="12"/>
        <v>0</v>
      </c>
      <c r="BC39" s="208">
        <f t="shared" si="22"/>
        <v>156</v>
      </c>
    </row>
    <row r="40" spans="1:55" ht="25.8" thickBot="1" x14ac:dyDescent="0.65">
      <c r="A40" s="64">
        <v>32</v>
      </c>
      <c r="B40" s="126" t="s">
        <v>115</v>
      </c>
      <c r="C40" s="127" t="s">
        <v>18</v>
      </c>
      <c r="D40" s="128">
        <v>44720</v>
      </c>
      <c r="E40" s="130">
        <v>1</v>
      </c>
      <c r="F40" s="130">
        <f t="shared" si="16"/>
        <v>533.33000000000004</v>
      </c>
      <c r="G40" s="130">
        <f t="shared" ref="G40" si="78">+BC40</f>
        <v>450</v>
      </c>
      <c r="H40" s="131">
        <f t="shared" ref="H40" si="79">+F40+G40</f>
        <v>983.33</v>
      </c>
      <c r="I40" s="132">
        <v>14</v>
      </c>
      <c r="J40" s="72">
        <v>14</v>
      </c>
      <c r="L40" s="133">
        <v>46181</v>
      </c>
      <c r="M40" s="124"/>
      <c r="N40" s="125" t="str">
        <f t="shared" ca="1" si="73"/>
        <v>O.K.</v>
      </c>
      <c r="W40" s="1" t="s">
        <v>115</v>
      </c>
      <c r="X40" s="31">
        <v>0</v>
      </c>
      <c r="Y40" s="31">
        <v>0</v>
      </c>
      <c r="Z40" s="32">
        <v>0</v>
      </c>
      <c r="AA40" s="32">
        <v>0</v>
      </c>
      <c r="AB40" s="32">
        <v>0</v>
      </c>
      <c r="AC40" s="25">
        <v>0</v>
      </c>
      <c r="AD40" s="22">
        <f t="shared" ref="AD40" si="80">+AC40-AB40</f>
        <v>0</v>
      </c>
      <c r="AE40" s="43">
        <v>0</v>
      </c>
      <c r="AF40" s="43">
        <v>0</v>
      </c>
      <c r="AG40" s="32">
        <v>0</v>
      </c>
      <c r="AH40" s="12">
        <f t="shared" ref="AH40" si="81">+AD40+(AE40+AF40)-AG40</f>
        <v>0</v>
      </c>
      <c r="AI40" s="43">
        <v>0</v>
      </c>
      <c r="AJ40" s="43">
        <v>0</v>
      </c>
      <c r="AK40" s="32">
        <v>0</v>
      </c>
      <c r="AL40" s="25">
        <f t="shared" ref="AL40" si="82">+AH40+AI40+AJ40-AK40</f>
        <v>0</v>
      </c>
      <c r="AM40" s="43">
        <f t="shared" si="20"/>
        <v>0</v>
      </c>
      <c r="AN40" s="43">
        <f t="shared" si="20"/>
        <v>0</v>
      </c>
      <c r="AO40" s="59">
        <v>0</v>
      </c>
      <c r="AP40" s="62">
        <f t="shared" ref="AP40" si="83">+AL40+AM40+AN40-AO40</f>
        <v>0</v>
      </c>
      <c r="AQ40" s="65">
        <f>+(300)+(0)+(0)+(0)+(54)+(0)</f>
        <v>354</v>
      </c>
      <c r="AR40" s="65">
        <f t="shared" si="74"/>
        <v>0</v>
      </c>
      <c r="AS40" s="118">
        <v>150</v>
      </c>
      <c r="AT40" s="62">
        <f t="shared" ref="AT40" si="84">+AP40+AQ40+AR40-AS40</f>
        <v>204</v>
      </c>
      <c r="AU40" s="25">
        <f>+(0)+(120)+(0)+(0)</f>
        <v>120</v>
      </c>
      <c r="AV40" s="25">
        <f t="shared" si="48"/>
        <v>0</v>
      </c>
      <c r="AW40" s="25">
        <v>150</v>
      </c>
      <c r="AX40" s="25">
        <f t="shared" si="76"/>
        <v>174</v>
      </c>
      <c r="AY40" s="151">
        <f t="shared" si="13"/>
        <v>0</v>
      </c>
      <c r="AZ40" s="151">
        <f t="shared" si="14"/>
        <v>0</v>
      </c>
      <c r="BA40" s="207">
        <v>150</v>
      </c>
      <c r="BB40" s="207">
        <f t="shared" ref="BB40:BB81" si="85">(AX40+AY40+AZ40)-BA40</f>
        <v>24</v>
      </c>
      <c r="BC40" s="208">
        <f t="shared" si="22"/>
        <v>450</v>
      </c>
    </row>
    <row r="41" spans="1:55" ht="25.8" thickBot="1" x14ac:dyDescent="0.65">
      <c r="A41" s="64">
        <v>33</v>
      </c>
      <c r="B41" s="175" t="s">
        <v>66</v>
      </c>
      <c r="C41" s="176" t="s">
        <v>26</v>
      </c>
      <c r="D41" s="183">
        <v>43466</v>
      </c>
      <c r="E41" s="177">
        <v>3</v>
      </c>
      <c r="F41" s="177">
        <f t="shared" si="16"/>
        <v>1599.9900000000002</v>
      </c>
      <c r="G41" s="177">
        <f t="shared" si="75"/>
        <v>840</v>
      </c>
      <c r="H41" s="178">
        <f t="shared" si="17"/>
        <v>2439.9900000000002</v>
      </c>
      <c r="I41" s="179">
        <v>12</v>
      </c>
      <c r="J41" s="72">
        <v>12</v>
      </c>
      <c r="L41" s="184">
        <v>46388</v>
      </c>
      <c r="M41" s="181"/>
      <c r="N41" s="182" t="str">
        <f t="shared" ca="1" si="73"/>
        <v>O.K.</v>
      </c>
      <c r="W41" s="1" t="s">
        <v>66</v>
      </c>
      <c r="X41" s="31">
        <v>0</v>
      </c>
      <c r="Y41" s="31">
        <v>0</v>
      </c>
      <c r="Z41" s="32">
        <v>0</v>
      </c>
      <c r="AA41" s="32">
        <v>0</v>
      </c>
      <c r="AB41" s="32">
        <v>120</v>
      </c>
      <c r="AC41" s="25">
        <v>156</v>
      </c>
      <c r="AD41" s="22">
        <f t="shared" si="18"/>
        <v>36</v>
      </c>
      <c r="AE41" s="43">
        <v>54.6</v>
      </c>
      <c r="AF41" s="43">
        <f>+(0)+(0)+(0)+(0)+(54)+(54)</f>
        <v>108</v>
      </c>
      <c r="AG41" s="32">
        <v>120</v>
      </c>
      <c r="AH41" s="12">
        <f t="shared" si="35"/>
        <v>78.599999999999994</v>
      </c>
      <c r="AI41" s="43">
        <f t="shared" ref="AI41:AJ128" si="86">+(0)+(0)+(0)+(0)+(0)+(0)</f>
        <v>0</v>
      </c>
      <c r="AJ41" s="43">
        <f>+(246)+(0)+(0)+(0)+(0)+(0)</f>
        <v>246</v>
      </c>
      <c r="AK41" s="32">
        <v>120</v>
      </c>
      <c r="AL41" s="25">
        <f t="shared" si="36"/>
        <v>204.60000000000002</v>
      </c>
      <c r="AM41" s="43">
        <f>+(0)+(0)+(0)+(0)+(30)+(0)</f>
        <v>30</v>
      </c>
      <c r="AN41" s="43">
        <f>+(0)+(0)+(0)+(0)+(0)+(96)</f>
        <v>96</v>
      </c>
      <c r="AO41" s="59">
        <v>120</v>
      </c>
      <c r="AP41" s="62">
        <f t="shared" si="37"/>
        <v>210.60000000000002</v>
      </c>
      <c r="AQ41" s="65">
        <f t="shared" si="74"/>
        <v>0</v>
      </c>
      <c r="AR41" s="65">
        <f>+(0)+(120)+(0)+(0)+(0)+(0)</f>
        <v>120</v>
      </c>
      <c r="AS41" s="118">
        <v>120</v>
      </c>
      <c r="AT41" s="62">
        <f t="shared" si="38"/>
        <v>210.60000000000002</v>
      </c>
      <c r="AU41" s="25">
        <f t="shared" si="41"/>
        <v>0</v>
      </c>
      <c r="AV41" s="25">
        <f>+(0)+(0)+(0)+(0)+(0)+(0)+(120)+(0)</f>
        <v>120</v>
      </c>
      <c r="AW41" s="25">
        <v>120</v>
      </c>
      <c r="AX41" s="25">
        <f t="shared" si="76"/>
        <v>210.60000000000002</v>
      </c>
      <c r="AY41" s="151">
        <f>+(0)+(0)+(120)+(0)</f>
        <v>120</v>
      </c>
      <c r="AZ41" s="151">
        <f t="shared" si="14"/>
        <v>0</v>
      </c>
      <c r="BA41" s="207">
        <v>120</v>
      </c>
      <c r="BB41" s="207">
        <f t="shared" si="85"/>
        <v>210.60000000000002</v>
      </c>
      <c r="BC41" s="208">
        <f t="shared" si="22"/>
        <v>840</v>
      </c>
    </row>
    <row r="42" spans="1:55" ht="25.8" thickBot="1" x14ac:dyDescent="0.65">
      <c r="A42" s="64">
        <v>34</v>
      </c>
      <c r="B42" s="175" t="s">
        <v>182</v>
      </c>
      <c r="C42" s="176" t="s">
        <v>15</v>
      </c>
      <c r="D42" s="183">
        <v>45699</v>
      </c>
      <c r="E42" s="177">
        <v>0</v>
      </c>
      <c r="F42" s="177">
        <f t="shared" si="16"/>
        <v>0</v>
      </c>
      <c r="G42" s="177">
        <f t="shared" ref="G42" si="87">+BC42</f>
        <v>0</v>
      </c>
      <c r="H42" s="178">
        <f t="shared" ref="H42" si="88">+F42+G42</f>
        <v>0</v>
      </c>
      <c r="I42" s="179">
        <v>15</v>
      </c>
      <c r="J42" s="72">
        <v>15</v>
      </c>
      <c r="L42" s="184">
        <v>46429</v>
      </c>
      <c r="M42" s="181"/>
      <c r="N42" s="182" t="str">
        <f t="shared" ca="1" si="73"/>
        <v>O.K.</v>
      </c>
      <c r="W42" s="1" t="s">
        <v>182</v>
      </c>
      <c r="X42" s="31"/>
      <c r="Y42" s="31"/>
      <c r="Z42" s="32"/>
      <c r="AA42" s="32"/>
      <c r="AB42" s="32"/>
      <c r="AC42" s="25"/>
      <c r="AD42" s="22"/>
      <c r="AE42" s="43"/>
      <c r="AF42" s="43"/>
      <c r="AG42" s="32"/>
      <c r="AH42" s="12"/>
      <c r="AI42" s="43"/>
      <c r="AJ42" s="43"/>
      <c r="AK42" s="32"/>
      <c r="AL42" s="25"/>
      <c r="AM42" s="43"/>
      <c r="AN42" s="43"/>
      <c r="AO42" s="59"/>
      <c r="AP42" s="62"/>
      <c r="AQ42" s="65"/>
      <c r="AR42" s="65"/>
      <c r="AS42" s="118"/>
      <c r="AT42" s="62"/>
      <c r="AU42" s="25"/>
      <c r="AV42" s="25"/>
      <c r="AW42" s="25"/>
      <c r="AX42" s="25"/>
      <c r="AY42" s="151">
        <f t="shared" si="13"/>
        <v>0</v>
      </c>
      <c r="AZ42" s="151">
        <f t="shared" si="14"/>
        <v>0</v>
      </c>
      <c r="BA42" s="207">
        <v>0</v>
      </c>
      <c r="BB42" s="207">
        <f t="shared" ref="BB42" si="89">(AX42+AY42+AZ42)-BA42</f>
        <v>0</v>
      </c>
      <c r="BC42" s="208">
        <f t="shared" ref="BC42" si="90">SUM(X42:AA42)+AB42+AG42+AK42+AO42+AS42+AW42+BA42</f>
        <v>0</v>
      </c>
    </row>
    <row r="43" spans="1:55" ht="25.8" thickBot="1" x14ac:dyDescent="0.65">
      <c r="A43" s="64">
        <v>35</v>
      </c>
      <c r="B43" s="175" t="s">
        <v>179</v>
      </c>
      <c r="C43" s="176" t="s">
        <v>15</v>
      </c>
      <c r="D43" s="183">
        <v>45628</v>
      </c>
      <c r="E43" s="177">
        <v>2</v>
      </c>
      <c r="F43" s="177">
        <f t="shared" si="16"/>
        <v>1066.6600000000001</v>
      </c>
      <c r="G43" s="177">
        <f t="shared" ref="G43" si="91">+BC43</f>
        <v>1405.8</v>
      </c>
      <c r="H43" s="178">
        <f t="shared" ref="H43" si="92">+F43+G43</f>
        <v>2472.46</v>
      </c>
      <c r="I43" s="179">
        <v>13</v>
      </c>
      <c r="J43" s="72">
        <v>13</v>
      </c>
      <c r="K43" s="157"/>
      <c r="L43" s="184">
        <v>46422</v>
      </c>
      <c r="M43" s="181"/>
      <c r="N43" s="182" t="str">
        <f t="shared" ca="1" si="73"/>
        <v>O.K.</v>
      </c>
      <c r="W43" s="1" t="s">
        <v>179</v>
      </c>
      <c r="X43" s="61">
        <v>1255.8</v>
      </c>
      <c r="Y43" s="31"/>
      <c r="Z43" s="32"/>
      <c r="AA43" s="32"/>
      <c r="AB43" s="32"/>
      <c r="AC43" s="25"/>
      <c r="AD43" s="22"/>
      <c r="AE43" s="43"/>
      <c r="AF43" s="43"/>
      <c r="AG43" s="32"/>
      <c r="AH43" s="12"/>
      <c r="AI43" s="43"/>
      <c r="AJ43" s="43"/>
      <c r="AK43" s="32"/>
      <c r="AL43" s="25"/>
      <c r="AM43" s="43"/>
      <c r="AN43" s="43"/>
      <c r="AO43" s="59"/>
      <c r="AP43" s="62"/>
      <c r="AQ43" s="65"/>
      <c r="AR43" s="65"/>
      <c r="AS43" s="118"/>
      <c r="AT43" s="62"/>
      <c r="AU43" s="25"/>
      <c r="AV43" s="25"/>
      <c r="AW43" s="25"/>
      <c r="AX43" s="25"/>
      <c r="AY43" s="151">
        <f>+(0)+(0)+(0)+(138)</f>
        <v>138</v>
      </c>
      <c r="AZ43" s="151">
        <f>+(114)+(0)+(96)+(0)+(0)+(132)+(0)+(0)</f>
        <v>342</v>
      </c>
      <c r="BA43" s="207">
        <v>150</v>
      </c>
      <c r="BB43" s="207">
        <f t="shared" ref="BB43:BB45" si="93">(AX43+AY43+AZ43)-BA43</f>
        <v>330</v>
      </c>
      <c r="BC43" s="208">
        <f t="shared" si="22"/>
        <v>1405.8</v>
      </c>
    </row>
    <row r="44" spans="1:55" ht="25.8" thickBot="1" x14ac:dyDescent="0.65">
      <c r="A44" s="64">
        <v>36</v>
      </c>
      <c r="B44" s="175" t="s">
        <v>183</v>
      </c>
      <c r="C44" s="176" t="s">
        <v>15</v>
      </c>
      <c r="D44" s="183">
        <v>45691</v>
      </c>
      <c r="E44" s="177">
        <v>0</v>
      </c>
      <c r="F44" s="177">
        <f t="shared" ref="F44:F45" si="94">+E44*$C$1</f>
        <v>0</v>
      </c>
      <c r="G44" s="177">
        <f t="shared" ref="G44" si="95">+BC44</f>
        <v>0</v>
      </c>
      <c r="H44" s="178">
        <f t="shared" ref="H44" si="96">+F44+G44</f>
        <v>0</v>
      </c>
      <c r="I44" s="179">
        <v>15</v>
      </c>
      <c r="J44" s="72">
        <v>15</v>
      </c>
      <c r="K44" s="157"/>
      <c r="L44" s="184">
        <v>46421</v>
      </c>
      <c r="M44" s="181"/>
      <c r="N44" s="182" t="str">
        <f t="shared" ca="1" si="73"/>
        <v>O.K.</v>
      </c>
      <c r="W44" s="1" t="s">
        <v>183</v>
      </c>
      <c r="X44" s="31"/>
      <c r="Y44" s="31"/>
      <c r="Z44" s="32"/>
      <c r="AA44" s="32"/>
      <c r="AB44" s="32"/>
      <c r="AC44" s="25"/>
      <c r="AD44" s="22"/>
      <c r="AE44" s="43"/>
      <c r="AF44" s="43"/>
      <c r="AG44" s="32"/>
      <c r="AH44" s="12"/>
      <c r="AI44" s="43"/>
      <c r="AJ44" s="43"/>
      <c r="AK44" s="32"/>
      <c r="AL44" s="25"/>
      <c r="AM44" s="43"/>
      <c r="AN44" s="43"/>
      <c r="AO44" s="59"/>
      <c r="AP44" s="62"/>
      <c r="AQ44" s="65"/>
      <c r="AR44" s="65"/>
      <c r="AS44" s="118"/>
      <c r="AT44" s="62"/>
      <c r="AU44" s="25"/>
      <c r="AV44" s="25"/>
      <c r="AW44" s="25"/>
      <c r="AX44" s="25"/>
      <c r="AY44" s="151">
        <f t="shared" si="13"/>
        <v>0</v>
      </c>
      <c r="AZ44" s="151">
        <f t="shared" si="14"/>
        <v>0</v>
      </c>
      <c r="BA44" s="207">
        <v>0</v>
      </c>
      <c r="BB44" s="207">
        <f t="shared" si="93"/>
        <v>0</v>
      </c>
      <c r="BC44" s="208">
        <f t="shared" ref="BC44:BC45" si="97">SUM(X44:AA44)+AB44+AG44+AK44+AO44+AS44+AW44+BA44</f>
        <v>0</v>
      </c>
    </row>
    <row r="45" spans="1:55" ht="25.8" thickBot="1" x14ac:dyDescent="0.65">
      <c r="A45" s="64">
        <v>37</v>
      </c>
      <c r="B45" s="175" t="s">
        <v>196</v>
      </c>
      <c r="C45" s="176" t="s">
        <v>13</v>
      </c>
      <c r="D45" s="183">
        <v>45782</v>
      </c>
      <c r="E45" s="177">
        <v>0</v>
      </c>
      <c r="F45" s="177">
        <f t="shared" si="94"/>
        <v>0</v>
      </c>
      <c r="G45" s="177">
        <f t="shared" ref="G45" si="98">+BC45</f>
        <v>108</v>
      </c>
      <c r="H45" s="178">
        <f t="shared" ref="H45" si="99">+F45+G45</f>
        <v>108</v>
      </c>
      <c r="I45" s="179">
        <v>15</v>
      </c>
      <c r="J45" s="72">
        <v>15</v>
      </c>
      <c r="L45" s="184">
        <v>46512</v>
      </c>
      <c r="M45" s="181"/>
      <c r="N45" s="182" t="str">
        <f t="shared" ca="1" si="73"/>
        <v>O.K.</v>
      </c>
      <c r="W45" s="1"/>
      <c r="X45" s="31"/>
      <c r="Y45" s="31"/>
      <c r="Z45" s="32"/>
      <c r="AA45" s="32"/>
      <c r="AB45" s="32"/>
      <c r="AC45" s="25"/>
      <c r="AD45" s="22"/>
      <c r="AE45" s="43"/>
      <c r="AF45" s="43"/>
      <c r="AG45" s="32"/>
      <c r="AH45" s="12"/>
      <c r="AI45" s="43"/>
      <c r="AJ45" s="43"/>
      <c r="AK45" s="32"/>
      <c r="AL45" s="25"/>
      <c r="AM45" s="43"/>
      <c r="AN45" s="43"/>
      <c r="AO45" s="59"/>
      <c r="AP45" s="62"/>
      <c r="AQ45" s="65"/>
      <c r="AR45" s="65"/>
      <c r="AS45" s="118"/>
      <c r="AT45" s="62"/>
      <c r="AU45" s="25"/>
      <c r="AV45" s="25"/>
      <c r="AW45" s="25"/>
      <c r="AX45" s="25"/>
      <c r="AY45" s="151">
        <f t="shared" si="13"/>
        <v>0</v>
      </c>
      <c r="AZ45" s="151">
        <f>+(0)+(0)+(0)+(0)+(30)+(78)+(0)+(0)</f>
        <v>108</v>
      </c>
      <c r="BA45" s="207">
        <v>108</v>
      </c>
      <c r="BB45" s="207">
        <f t="shared" si="93"/>
        <v>0</v>
      </c>
      <c r="BC45" s="208">
        <f t="shared" si="97"/>
        <v>108</v>
      </c>
    </row>
    <row r="46" spans="1:55" ht="25.8" thickBot="1" x14ac:dyDescent="0.65">
      <c r="A46" s="64">
        <v>38</v>
      </c>
      <c r="B46" s="95" t="s">
        <v>29</v>
      </c>
      <c r="C46" s="87" t="s">
        <v>13</v>
      </c>
      <c r="D46" s="95"/>
      <c r="E46" s="89">
        <v>15</v>
      </c>
      <c r="F46" s="89">
        <f t="shared" si="16"/>
        <v>7999.9500000000007</v>
      </c>
      <c r="G46" s="89">
        <f t="shared" si="75"/>
        <v>2355.34</v>
      </c>
      <c r="H46" s="91">
        <f t="shared" si="17"/>
        <v>10355.290000000001</v>
      </c>
      <c r="I46" s="96">
        <v>2</v>
      </c>
      <c r="J46" s="72">
        <v>2</v>
      </c>
      <c r="L46" s="92"/>
      <c r="M46" s="93"/>
      <c r="N46" s="94" t="s">
        <v>16</v>
      </c>
      <c r="W46" s="7" t="s">
        <v>29</v>
      </c>
      <c r="X46" s="31">
        <v>1869.34</v>
      </c>
      <c r="Y46" s="31">
        <v>96</v>
      </c>
      <c r="Z46" s="32">
        <v>96</v>
      </c>
      <c r="AA46" s="32">
        <v>120</v>
      </c>
      <c r="AB46" s="32">
        <v>120</v>
      </c>
      <c r="AC46" s="25">
        <v>174</v>
      </c>
      <c r="AD46" s="22">
        <f t="shared" si="18"/>
        <v>54</v>
      </c>
      <c r="AE46" s="43">
        <v>0</v>
      </c>
      <c r="AF46" s="43">
        <f t="shared" ref="AF46:AF48" si="100">+(0)+(0)+(0)+(0)+(0)+(0)</f>
        <v>0</v>
      </c>
      <c r="AG46" s="32">
        <v>54</v>
      </c>
      <c r="AH46" s="12">
        <f t="shared" si="35"/>
        <v>0</v>
      </c>
      <c r="AI46" s="43">
        <f t="shared" si="86"/>
        <v>0</v>
      </c>
      <c r="AJ46" s="43">
        <f t="shared" si="86"/>
        <v>0</v>
      </c>
      <c r="AK46" s="32">
        <v>0</v>
      </c>
      <c r="AL46" s="55">
        <f t="shared" si="36"/>
        <v>0</v>
      </c>
      <c r="AM46" s="43">
        <f t="shared" si="20"/>
        <v>0</v>
      </c>
      <c r="AN46" s="43">
        <f t="shared" si="20"/>
        <v>0</v>
      </c>
      <c r="AO46" s="59">
        <v>0</v>
      </c>
      <c r="AP46" s="62">
        <f t="shared" si="37"/>
        <v>0</v>
      </c>
      <c r="AQ46" s="65">
        <f t="shared" si="74"/>
        <v>0</v>
      </c>
      <c r="AR46" s="65">
        <f t="shared" si="74"/>
        <v>0</v>
      </c>
      <c r="AS46" s="118">
        <v>0</v>
      </c>
      <c r="AT46" s="62">
        <f t="shared" si="38"/>
        <v>0</v>
      </c>
      <c r="AU46" s="25">
        <f t="shared" si="41"/>
        <v>0</v>
      </c>
      <c r="AV46" s="25">
        <f t="shared" si="48"/>
        <v>0</v>
      </c>
      <c r="AW46" s="25">
        <v>0</v>
      </c>
      <c r="AX46" s="25">
        <f t="shared" si="76"/>
        <v>0</v>
      </c>
      <c r="AY46" s="151">
        <f t="shared" si="13"/>
        <v>0</v>
      </c>
      <c r="AZ46" s="151">
        <f t="shared" si="14"/>
        <v>0</v>
      </c>
      <c r="BA46" s="207">
        <v>0</v>
      </c>
      <c r="BB46" s="207">
        <f t="shared" si="85"/>
        <v>0</v>
      </c>
      <c r="BC46" s="208">
        <f t="shared" si="22"/>
        <v>2355.34</v>
      </c>
    </row>
    <row r="47" spans="1:55" ht="25.8" thickBot="1" x14ac:dyDescent="0.65">
      <c r="A47" s="64">
        <v>39</v>
      </c>
      <c r="B47" s="196" t="s">
        <v>190</v>
      </c>
      <c r="C47" s="197" t="s">
        <v>15</v>
      </c>
      <c r="D47" s="201">
        <v>45723</v>
      </c>
      <c r="E47" s="198">
        <v>0</v>
      </c>
      <c r="F47" s="198">
        <f t="shared" si="16"/>
        <v>0</v>
      </c>
      <c r="G47" s="198">
        <f t="shared" ref="G47" si="101">+BC47</f>
        <v>0</v>
      </c>
      <c r="H47" s="199">
        <f t="shared" ref="H47" si="102">+F47+G47</f>
        <v>0</v>
      </c>
      <c r="I47" s="200">
        <v>15</v>
      </c>
      <c r="J47" s="72">
        <v>15</v>
      </c>
      <c r="L47" s="193" t="s">
        <v>166</v>
      </c>
      <c r="M47" s="194"/>
      <c r="N47" s="195"/>
      <c r="W47" s="7" t="s">
        <v>190</v>
      </c>
      <c r="X47" s="31"/>
      <c r="Y47" s="31"/>
      <c r="Z47" s="32"/>
      <c r="AA47" s="32"/>
      <c r="AB47" s="32"/>
      <c r="AC47" s="25"/>
      <c r="AD47" s="22"/>
      <c r="AE47" s="43"/>
      <c r="AF47" s="43"/>
      <c r="AG47" s="32"/>
      <c r="AH47" s="12"/>
      <c r="AI47" s="43"/>
      <c r="AJ47" s="43"/>
      <c r="AK47" s="32"/>
      <c r="AL47" s="55"/>
      <c r="AM47" s="43"/>
      <c r="AN47" s="43"/>
      <c r="AO47" s="59"/>
      <c r="AP47" s="62"/>
      <c r="AQ47" s="65"/>
      <c r="AR47" s="65"/>
      <c r="AS47" s="118"/>
      <c r="AT47" s="62"/>
      <c r="AU47" s="25"/>
      <c r="AV47" s="25"/>
      <c r="AW47" s="25"/>
      <c r="AX47" s="25"/>
      <c r="AY47" s="151">
        <f t="shared" si="13"/>
        <v>0</v>
      </c>
      <c r="AZ47" s="151">
        <f t="shared" si="14"/>
        <v>0</v>
      </c>
      <c r="BA47" s="207">
        <v>0</v>
      </c>
      <c r="BB47" s="207">
        <f t="shared" ref="BB47" si="103">(AX47+AY47+AZ47)-BA47</f>
        <v>0</v>
      </c>
      <c r="BC47" s="208">
        <f t="shared" ref="BC47" si="104">SUM(X47:AA47)+AB47+AG47+AK47+AO47+AS47+AW47+BA47</f>
        <v>0</v>
      </c>
    </row>
    <row r="48" spans="1:55" ht="25.8" thickBot="1" x14ac:dyDescent="0.65">
      <c r="A48" s="64">
        <v>40</v>
      </c>
      <c r="B48" s="143" t="s">
        <v>30</v>
      </c>
      <c r="C48" s="127" t="s">
        <v>13</v>
      </c>
      <c r="D48" s="135">
        <v>36708</v>
      </c>
      <c r="E48" s="130">
        <v>12</v>
      </c>
      <c r="F48" s="130">
        <f t="shared" si="16"/>
        <v>6399.9600000000009</v>
      </c>
      <c r="G48" s="130">
        <f t="shared" si="75"/>
        <v>1992</v>
      </c>
      <c r="H48" s="131">
        <f t="shared" si="17"/>
        <v>8391.9600000000009</v>
      </c>
      <c r="I48" s="132">
        <v>5</v>
      </c>
      <c r="J48" s="72">
        <v>5</v>
      </c>
      <c r="L48" s="133">
        <v>46204</v>
      </c>
      <c r="M48" s="124"/>
      <c r="N48" s="125" t="str">
        <f t="shared" ref="N48:N97" ca="1" si="105">IF($B$2&lt;L48,"O.K.","A L E R T A ")</f>
        <v>O.K.</v>
      </c>
      <c r="W48" s="7" t="s">
        <v>30</v>
      </c>
      <c r="X48" s="31">
        <v>1470</v>
      </c>
      <c r="Y48" s="31">
        <v>96</v>
      </c>
      <c r="Z48" s="32">
        <v>96</v>
      </c>
      <c r="AA48" s="32">
        <v>120</v>
      </c>
      <c r="AB48" s="32">
        <v>78</v>
      </c>
      <c r="AC48" s="25">
        <v>78</v>
      </c>
      <c r="AD48" s="22">
        <f t="shared" si="18"/>
        <v>0</v>
      </c>
      <c r="AE48" s="43">
        <f>78+54</f>
        <v>132</v>
      </c>
      <c r="AF48" s="43">
        <f t="shared" si="100"/>
        <v>0</v>
      </c>
      <c r="AG48" s="32">
        <v>120</v>
      </c>
      <c r="AH48" s="12">
        <f t="shared" si="35"/>
        <v>12</v>
      </c>
      <c r="AI48" s="43">
        <f t="shared" si="86"/>
        <v>0</v>
      </c>
      <c r="AJ48" s="43">
        <f t="shared" si="86"/>
        <v>0</v>
      </c>
      <c r="AK48" s="32">
        <v>12</v>
      </c>
      <c r="AL48" s="25">
        <f t="shared" si="36"/>
        <v>0</v>
      </c>
      <c r="AM48" s="43">
        <f t="shared" si="20"/>
        <v>0</v>
      </c>
      <c r="AN48" s="43">
        <f t="shared" si="20"/>
        <v>0</v>
      </c>
      <c r="AO48" s="59">
        <v>0</v>
      </c>
      <c r="AP48" s="62">
        <f t="shared" si="37"/>
        <v>0</v>
      </c>
      <c r="AQ48" s="65">
        <f t="shared" si="74"/>
        <v>0</v>
      </c>
      <c r="AR48" s="65">
        <f t="shared" si="74"/>
        <v>0</v>
      </c>
      <c r="AS48" s="118">
        <v>0</v>
      </c>
      <c r="AT48" s="62">
        <f t="shared" si="38"/>
        <v>0</v>
      </c>
      <c r="AU48" s="25">
        <f t="shared" si="41"/>
        <v>0</v>
      </c>
      <c r="AV48" s="25">
        <f t="shared" si="48"/>
        <v>0</v>
      </c>
      <c r="AW48" s="25">
        <v>0</v>
      </c>
      <c r="AX48" s="25">
        <f t="shared" si="76"/>
        <v>0</v>
      </c>
      <c r="AY48" s="151">
        <f t="shared" si="13"/>
        <v>0</v>
      </c>
      <c r="AZ48" s="151">
        <f t="shared" si="14"/>
        <v>0</v>
      </c>
      <c r="BA48" s="207">
        <v>0</v>
      </c>
      <c r="BB48" s="207">
        <f t="shared" si="85"/>
        <v>0</v>
      </c>
      <c r="BC48" s="208">
        <f t="shared" si="22"/>
        <v>1992</v>
      </c>
    </row>
    <row r="49" spans="1:55" ht="25.8" thickBot="1" x14ac:dyDescent="0.65">
      <c r="A49" s="64">
        <v>41</v>
      </c>
      <c r="B49" s="175" t="s">
        <v>85</v>
      </c>
      <c r="C49" s="176" t="s">
        <v>13</v>
      </c>
      <c r="D49" s="190">
        <v>44287</v>
      </c>
      <c r="E49" s="177">
        <v>2</v>
      </c>
      <c r="F49" s="177">
        <f t="shared" si="16"/>
        <v>1066.6600000000001</v>
      </c>
      <c r="G49" s="177">
        <f t="shared" si="75"/>
        <v>240</v>
      </c>
      <c r="H49" s="178">
        <f t="shared" si="17"/>
        <v>1306.6600000000001</v>
      </c>
      <c r="I49" s="179">
        <v>14</v>
      </c>
      <c r="J49" s="72">
        <v>14</v>
      </c>
      <c r="L49" s="184">
        <v>46478</v>
      </c>
      <c r="M49" s="181"/>
      <c r="N49" s="182" t="str">
        <f t="shared" ca="1" si="105"/>
        <v>O.K.</v>
      </c>
      <c r="W49" s="1" t="s">
        <v>85</v>
      </c>
      <c r="X49" s="31">
        <v>0</v>
      </c>
      <c r="Y49" s="31">
        <v>0</v>
      </c>
      <c r="Z49" s="32">
        <v>0</v>
      </c>
      <c r="AA49" s="32">
        <v>0</v>
      </c>
      <c r="AB49" s="32">
        <v>0</v>
      </c>
      <c r="AC49" s="25">
        <v>0</v>
      </c>
      <c r="AD49" s="22">
        <f t="shared" si="18"/>
        <v>0</v>
      </c>
      <c r="AE49" s="43">
        <v>0</v>
      </c>
      <c r="AF49" s="43">
        <v>0</v>
      </c>
      <c r="AG49" s="32">
        <v>0</v>
      </c>
      <c r="AH49" s="12">
        <f t="shared" si="35"/>
        <v>0</v>
      </c>
      <c r="AI49" s="43">
        <f t="shared" si="86"/>
        <v>0</v>
      </c>
      <c r="AJ49" s="43">
        <f t="shared" si="86"/>
        <v>0</v>
      </c>
      <c r="AK49" s="32">
        <v>0</v>
      </c>
      <c r="AL49" s="25">
        <f t="shared" si="36"/>
        <v>0</v>
      </c>
      <c r="AM49" s="43">
        <f t="shared" si="20"/>
        <v>0</v>
      </c>
      <c r="AN49" s="43">
        <f t="shared" si="20"/>
        <v>0</v>
      </c>
      <c r="AO49" s="59">
        <v>0</v>
      </c>
      <c r="AP49" s="62">
        <f t="shared" si="37"/>
        <v>0</v>
      </c>
      <c r="AQ49" s="65">
        <f t="shared" si="74"/>
        <v>0</v>
      </c>
      <c r="AR49" s="65">
        <f t="shared" si="74"/>
        <v>0</v>
      </c>
      <c r="AS49" s="118">
        <v>0</v>
      </c>
      <c r="AT49" s="62">
        <f t="shared" si="38"/>
        <v>0</v>
      </c>
      <c r="AU49" s="25">
        <f>+(0)+(0)+(0)+(120)</f>
        <v>120</v>
      </c>
      <c r="AV49" s="25">
        <f>+(0)+(0)+(0)+(0)+(0)+(0)+(0)+(282)</f>
        <v>282</v>
      </c>
      <c r="AW49" s="51">
        <v>120</v>
      </c>
      <c r="AX49" s="51">
        <f t="shared" si="76"/>
        <v>282</v>
      </c>
      <c r="AY49" s="151">
        <f t="shared" si="13"/>
        <v>0</v>
      </c>
      <c r="AZ49" s="151">
        <f t="shared" si="14"/>
        <v>0</v>
      </c>
      <c r="BA49" s="207">
        <v>120</v>
      </c>
      <c r="BB49" s="207">
        <f t="shared" si="85"/>
        <v>162</v>
      </c>
      <c r="BC49" s="208">
        <f t="shared" si="22"/>
        <v>240</v>
      </c>
    </row>
    <row r="50" spans="1:55" ht="25.8" thickBot="1" x14ac:dyDescent="0.65">
      <c r="A50" s="64">
        <v>42</v>
      </c>
      <c r="B50" s="175" t="s">
        <v>184</v>
      </c>
      <c r="C50" s="176" t="s">
        <v>18</v>
      </c>
      <c r="D50" s="190">
        <v>45698</v>
      </c>
      <c r="E50" s="177">
        <v>0</v>
      </c>
      <c r="F50" s="177">
        <f t="shared" ref="F50" si="106">+E50*$C$1</f>
        <v>0</v>
      </c>
      <c r="G50" s="177">
        <f t="shared" ref="G50" si="107">+BC50</f>
        <v>0</v>
      </c>
      <c r="H50" s="178">
        <f t="shared" ref="H50" si="108">+F50+G50</f>
        <v>0</v>
      </c>
      <c r="I50" s="179">
        <v>15</v>
      </c>
      <c r="J50" s="72">
        <v>15</v>
      </c>
      <c r="L50" s="184">
        <v>46428</v>
      </c>
      <c r="M50" s="181"/>
      <c r="N50" s="182" t="str">
        <f t="shared" ca="1" si="105"/>
        <v>O.K.</v>
      </c>
      <c r="W50" s="1" t="s">
        <v>184</v>
      </c>
      <c r="X50" s="31"/>
      <c r="Y50" s="31"/>
      <c r="Z50" s="32"/>
      <c r="AA50" s="32"/>
      <c r="AB50" s="32"/>
      <c r="AC50" s="25"/>
      <c r="AD50" s="22"/>
      <c r="AE50" s="43"/>
      <c r="AF50" s="43"/>
      <c r="AG50" s="32"/>
      <c r="AH50" s="12"/>
      <c r="AI50" s="43"/>
      <c r="AJ50" s="43"/>
      <c r="AK50" s="32"/>
      <c r="AL50" s="25"/>
      <c r="AM50" s="43"/>
      <c r="AN50" s="43"/>
      <c r="AO50" s="59"/>
      <c r="AP50" s="62"/>
      <c r="AQ50" s="65"/>
      <c r="AR50" s="65"/>
      <c r="AS50" s="118"/>
      <c r="AT50" s="62"/>
      <c r="AU50" s="25"/>
      <c r="AV50" s="25"/>
      <c r="AW50" s="51"/>
      <c r="AX50" s="51"/>
      <c r="AY50" s="151">
        <f t="shared" si="13"/>
        <v>0</v>
      </c>
      <c r="AZ50" s="151">
        <f t="shared" si="14"/>
        <v>0</v>
      </c>
      <c r="BA50" s="207">
        <v>0</v>
      </c>
      <c r="BB50" s="207">
        <f t="shared" ref="BB50" si="109">(AX50+AY50+AZ50)-BA50</f>
        <v>0</v>
      </c>
      <c r="BC50" s="208">
        <f t="shared" ref="BC50" si="110">SUM(X50:AA50)+AB50+AG50+AK50+AO50+AS50+AW50+BA50</f>
        <v>0</v>
      </c>
    </row>
    <row r="51" spans="1:55" ht="25.8" thickBot="1" x14ac:dyDescent="0.65">
      <c r="A51" s="64">
        <v>43</v>
      </c>
      <c r="B51" s="175" t="s">
        <v>198</v>
      </c>
      <c r="C51" s="176" t="s">
        <v>26</v>
      </c>
      <c r="D51" s="190">
        <v>45777</v>
      </c>
      <c r="E51" s="177">
        <v>0</v>
      </c>
      <c r="F51" s="177">
        <f t="shared" ref="F51" si="111">+E51*$C$1</f>
        <v>0</v>
      </c>
      <c r="G51" s="177">
        <f t="shared" ref="G51" si="112">+BC51</f>
        <v>0</v>
      </c>
      <c r="H51" s="178">
        <f t="shared" ref="H51" si="113">+F51+G51</f>
        <v>0</v>
      </c>
      <c r="I51" s="179">
        <v>15</v>
      </c>
      <c r="J51" s="72">
        <v>15</v>
      </c>
      <c r="L51" s="184">
        <v>46507</v>
      </c>
      <c r="M51" s="181"/>
      <c r="N51" s="182" t="str">
        <f t="shared" ca="1" si="105"/>
        <v>O.K.</v>
      </c>
      <c r="W51" s="1" t="s">
        <v>198</v>
      </c>
      <c r="X51" s="31"/>
      <c r="Y51" s="31"/>
      <c r="Z51" s="32"/>
      <c r="AA51" s="32"/>
      <c r="AB51" s="32"/>
      <c r="AC51" s="25"/>
      <c r="AD51" s="22"/>
      <c r="AE51" s="43"/>
      <c r="AF51" s="43"/>
      <c r="AG51" s="32"/>
      <c r="AH51" s="12"/>
      <c r="AI51" s="43"/>
      <c r="AJ51" s="43"/>
      <c r="AK51" s="32"/>
      <c r="AL51" s="25"/>
      <c r="AM51" s="43"/>
      <c r="AN51" s="43"/>
      <c r="AO51" s="59"/>
      <c r="AP51" s="62"/>
      <c r="AQ51" s="65"/>
      <c r="AR51" s="65"/>
      <c r="AS51" s="118"/>
      <c r="AT51" s="62"/>
      <c r="AU51" s="25"/>
      <c r="AV51" s="25"/>
      <c r="AW51" s="51"/>
      <c r="AX51" s="51"/>
      <c r="AY51" s="151">
        <f t="shared" si="13"/>
        <v>0</v>
      </c>
      <c r="AZ51" s="151">
        <f t="shared" si="14"/>
        <v>0</v>
      </c>
      <c r="BA51" s="207">
        <v>0</v>
      </c>
      <c r="BB51" s="207">
        <f t="shared" ref="BB51" si="114">(AX51+AY51+AZ51)-BA51</f>
        <v>0</v>
      </c>
      <c r="BC51" s="208">
        <f t="shared" ref="BC51" si="115">SUM(X51:AA51)+AB51+AG51+AK51+AO51+AS51+AW51+BA51</f>
        <v>0</v>
      </c>
    </row>
    <row r="52" spans="1:55" ht="25.8" thickBot="1" x14ac:dyDescent="0.65">
      <c r="A52" s="64">
        <v>44</v>
      </c>
      <c r="B52" s="126" t="s">
        <v>172</v>
      </c>
      <c r="C52" s="127" t="s">
        <v>15</v>
      </c>
      <c r="D52" s="135">
        <v>45505</v>
      </c>
      <c r="E52" s="130">
        <v>1</v>
      </c>
      <c r="F52" s="130">
        <f t="shared" ref="F52" si="116">+E52*$C$1</f>
        <v>533.33000000000004</v>
      </c>
      <c r="G52" s="130">
        <f t="shared" ref="G52" si="117">+BC52</f>
        <v>654</v>
      </c>
      <c r="H52" s="131">
        <f t="shared" ref="H52" si="118">+F52+G52</f>
        <v>1187.33</v>
      </c>
      <c r="I52" s="132">
        <v>14</v>
      </c>
      <c r="J52" s="72">
        <v>14</v>
      </c>
      <c r="L52" s="133">
        <v>46113</v>
      </c>
      <c r="M52" s="124"/>
      <c r="N52" s="125" t="str">
        <f t="shared" ca="1" si="105"/>
        <v>O.K.</v>
      </c>
      <c r="W52" s="1" t="s">
        <v>172</v>
      </c>
      <c r="X52" s="61">
        <v>354</v>
      </c>
      <c r="Y52" s="31"/>
      <c r="Z52" s="32"/>
      <c r="AA52" s="32"/>
      <c r="AB52" s="32"/>
      <c r="AC52" s="25"/>
      <c r="AD52" s="22"/>
      <c r="AE52" s="43"/>
      <c r="AF52" s="43"/>
      <c r="AG52" s="32"/>
      <c r="AH52" s="12"/>
      <c r="AI52" s="43"/>
      <c r="AJ52" s="43"/>
      <c r="AK52" s="32"/>
      <c r="AL52" s="25"/>
      <c r="AM52" s="43"/>
      <c r="AN52" s="43"/>
      <c r="AO52" s="59"/>
      <c r="AP52" s="62"/>
      <c r="AQ52" s="65"/>
      <c r="AR52" s="65"/>
      <c r="AS52" s="118"/>
      <c r="AT52" s="62"/>
      <c r="AU52" s="25">
        <f t="shared" si="41"/>
        <v>0</v>
      </c>
      <c r="AV52" s="25">
        <f>+(0)+(0)+(0)+(0)+(0)+(0)+(0)+(175.8)</f>
        <v>175.8</v>
      </c>
      <c r="AW52" s="51">
        <v>150</v>
      </c>
      <c r="AX52" s="51">
        <f t="shared" ref="AX52" si="119">+AT52+AU52+AV52-AW52</f>
        <v>25.800000000000011</v>
      </c>
      <c r="AY52" s="151">
        <f>+(0)+(0)+(0)+(54.6)</f>
        <v>54.6</v>
      </c>
      <c r="AZ52" s="151">
        <f>+(0)+(342.6)+(38.4)+(0)+(0)+(0)+(0)+(0)</f>
        <v>381</v>
      </c>
      <c r="BA52" s="207">
        <v>150</v>
      </c>
      <c r="BB52" s="207">
        <f t="shared" si="85"/>
        <v>311.39999999999998</v>
      </c>
      <c r="BC52" s="208">
        <f t="shared" si="22"/>
        <v>654</v>
      </c>
    </row>
    <row r="53" spans="1:55" ht="25.8" thickBot="1" x14ac:dyDescent="0.65">
      <c r="A53" s="64">
        <v>45</v>
      </c>
      <c r="B53" s="196" t="s">
        <v>111</v>
      </c>
      <c r="C53" s="197" t="s">
        <v>15</v>
      </c>
      <c r="D53" s="201">
        <v>44652</v>
      </c>
      <c r="E53" s="198">
        <v>2</v>
      </c>
      <c r="F53" s="198">
        <f t="shared" ref="F53" si="120">+E53*$C$1</f>
        <v>1066.6600000000001</v>
      </c>
      <c r="G53" s="198">
        <f t="shared" ref="G53" si="121">+BC53</f>
        <v>450</v>
      </c>
      <c r="H53" s="199">
        <f t="shared" ref="H53" si="122">+F53+G53</f>
        <v>1516.66</v>
      </c>
      <c r="I53" s="200">
        <v>14</v>
      </c>
      <c r="J53" s="72">
        <v>14</v>
      </c>
      <c r="K53" s="144" t="s">
        <v>70</v>
      </c>
      <c r="L53" s="217">
        <v>46623</v>
      </c>
      <c r="M53" s="218"/>
      <c r="N53" s="195" t="str">
        <f t="shared" ca="1" si="105"/>
        <v>O.K.</v>
      </c>
      <c r="W53" s="1" t="s">
        <v>111</v>
      </c>
      <c r="X53" s="31">
        <v>0</v>
      </c>
      <c r="Y53" s="31">
        <v>0</v>
      </c>
      <c r="Z53" s="32">
        <v>0</v>
      </c>
      <c r="AA53" s="32">
        <v>0</v>
      </c>
      <c r="AB53" s="32">
        <v>0</v>
      </c>
      <c r="AC53" s="25">
        <v>0</v>
      </c>
      <c r="AD53" s="22">
        <f t="shared" si="18"/>
        <v>0</v>
      </c>
      <c r="AE53" s="43">
        <v>0</v>
      </c>
      <c r="AF53" s="43">
        <v>0</v>
      </c>
      <c r="AG53" s="32">
        <v>0</v>
      </c>
      <c r="AH53" s="12">
        <f t="shared" si="35"/>
        <v>0</v>
      </c>
      <c r="AI53" s="43">
        <v>0</v>
      </c>
      <c r="AJ53" s="43">
        <v>0</v>
      </c>
      <c r="AK53" s="32">
        <v>0</v>
      </c>
      <c r="AL53" s="25">
        <f t="shared" si="36"/>
        <v>0</v>
      </c>
      <c r="AM53" s="43">
        <f t="shared" si="20"/>
        <v>0</v>
      </c>
      <c r="AN53" s="43">
        <f>+(0)+(0)+(0)+(0)+(0)+(96)</f>
        <v>96</v>
      </c>
      <c r="AO53" s="59">
        <v>96</v>
      </c>
      <c r="AP53" s="62">
        <f t="shared" si="37"/>
        <v>0</v>
      </c>
      <c r="AQ53" s="65">
        <f>+(0)+(0)+(54)+(0)+(0)+(0)</f>
        <v>54</v>
      </c>
      <c r="AR53" s="65">
        <f t="shared" si="74"/>
        <v>0</v>
      </c>
      <c r="AS53" s="118">
        <v>54</v>
      </c>
      <c r="AT53" s="62">
        <f t="shared" si="38"/>
        <v>0</v>
      </c>
      <c r="AU53" s="25">
        <f>+(0)+(0)+(96)+(0)</f>
        <v>96</v>
      </c>
      <c r="AV53" s="25">
        <f>+(0)+(0)+(174)+(54.6)+(0)+(102)+(126)+(78)</f>
        <v>534.6</v>
      </c>
      <c r="AW53" s="51">
        <v>150</v>
      </c>
      <c r="AX53" s="51">
        <f t="shared" si="76"/>
        <v>480.6</v>
      </c>
      <c r="AY53" s="151">
        <f>+(0)+(30)+(0)+(96)</f>
        <v>126</v>
      </c>
      <c r="AZ53" s="151">
        <f>+(30)+(0)+(0)+(0)+(0)+(0)+(0)+(0)</f>
        <v>30</v>
      </c>
      <c r="BA53" s="207">
        <v>150</v>
      </c>
      <c r="BB53" s="207">
        <f t="shared" si="85"/>
        <v>486.6</v>
      </c>
      <c r="BC53" s="208">
        <f t="shared" si="22"/>
        <v>450</v>
      </c>
    </row>
    <row r="54" spans="1:55" ht="25.8" thickBot="1" x14ac:dyDescent="0.65">
      <c r="A54" s="64">
        <v>46</v>
      </c>
      <c r="B54" s="196" t="s">
        <v>89</v>
      </c>
      <c r="C54" s="197" t="s">
        <v>26</v>
      </c>
      <c r="D54" s="201">
        <v>44409</v>
      </c>
      <c r="E54" s="198">
        <v>2</v>
      </c>
      <c r="F54" s="198">
        <f t="shared" si="16"/>
        <v>1066.6600000000001</v>
      </c>
      <c r="G54" s="198">
        <f t="shared" si="75"/>
        <v>264.60000000000002</v>
      </c>
      <c r="H54" s="199">
        <f t="shared" si="17"/>
        <v>1331.2600000000002</v>
      </c>
      <c r="I54" s="200">
        <v>14</v>
      </c>
      <c r="J54" s="72">
        <v>14</v>
      </c>
      <c r="K54" s="144" t="s">
        <v>70</v>
      </c>
      <c r="L54" s="217">
        <v>46600</v>
      </c>
      <c r="M54" s="218"/>
      <c r="N54" s="195" t="str">
        <f t="shared" ca="1" si="105"/>
        <v>O.K.</v>
      </c>
      <c r="W54" s="1" t="s">
        <v>89</v>
      </c>
      <c r="X54" s="31">
        <v>0</v>
      </c>
      <c r="Y54" s="31">
        <v>0</v>
      </c>
      <c r="Z54" s="32">
        <v>0</v>
      </c>
      <c r="AA54" s="32">
        <v>0</v>
      </c>
      <c r="AB54" s="32">
        <v>0</v>
      </c>
      <c r="AC54" s="25">
        <v>0</v>
      </c>
      <c r="AD54" s="22">
        <f t="shared" si="18"/>
        <v>0</v>
      </c>
      <c r="AE54" s="43">
        <v>0</v>
      </c>
      <c r="AF54" s="43">
        <v>0</v>
      </c>
      <c r="AG54" s="32">
        <v>0</v>
      </c>
      <c r="AH54" s="12">
        <f t="shared" si="35"/>
        <v>0</v>
      </c>
      <c r="AI54" s="43">
        <f t="shared" si="86"/>
        <v>0</v>
      </c>
      <c r="AJ54" s="43">
        <f t="shared" si="86"/>
        <v>0</v>
      </c>
      <c r="AK54" s="32">
        <v>0</v>
      </c>
      <c r="AL54" s="25">
        <f t="shared" si="36"/>
        <v>0</v>
      </c>
      <c r="AM54" s="43">
        <f t="shared" si="20"/>
        <v>0</v>
      </c>
      <c r="AN54" s="43">
        <f t="shared" si="20"/>
        <v>0</v>
      </c>
      <c r="AO54" s="59">
        <v>0</v>
      </c>
      <c r="AP54" s="62">
        <f t="shared" si="37"/>
        <v>0</v>
      </c>
      <c r="AQ54" s="65">
        <f t="shared" si="74"/>
        <v>0</v>
      </c>
      <c r="AR54" s="65">
        <f>+(0)+(38.4)+(0)+(0)+(0)+(0)</f>
        <v>38.4</v>
      </c>
      <c r="AS54" s="118">
        <v>38.4</v>
      </c>
      <c r="AT54" s="62">
        <f t="shared" si="38"/>
        <v>0</v>
      </c>
      <c r="AU54" s="25">
        <f>+(0)+(0)+(0)+(78)</f>
        <v>78</v>
      </c>
      <c r="AV54" s="25">
        <f>+(0)+(0)+(0)+(0)+(0)+(0)+(0)+(60)</f>
        <v>60</v>
      </c>
      <c r="AW54" s="51">
        <v>120</v>
      </c>
      <c r="AX54" s="51">
        <f t="shared" si="76"/>
        <v>18</v>
      </c>
      <c r="AY54" s="151">
        <f>+(0)+(0)+(0)+(21)</f>
        <v>21</v>
      </c>
      <c r="AZ54" s="151">
        <f>+(67.2)+(0)+(0)+(0)+(0)+(0)+(0)+(0)</f>
        <v>67.2</v>
      </c>
      <c r="BA54" s="207">
        <v>106.2</v>
      </c>
      <c r="BB54" s="207">
        <f t="shared" si="85"/>
        <v>0</v>
      </c>
      <c r="BC54" s="208">
        <f t="shared" si="22"/>
        <v>264.60000000000002</v>
      </c>
    </row>
    <row r="55" spans="1:55" ht="25.8" thickBot="1" x14ac:dyDescent="0.65">
      <c r="A55" s="64">
        <v>47</v>
      </c>
      <c r="B55" s="73" t="s">
        <v>99</v>
      </c>
      <c r="C55" s="74" t="s">
        <v>15</v>
      </c>
      <c r="D55" s="83">
        <v>44621</v>
      </c>
      <c r="E55" s="76">
        <v>1</v>
      </c>
      <c r="F55" s="76">
        <f t="shared" si="16"/>
        <v>533.33000000000004</v>
      </c>
      <c r="G55" s="76">
        <f t="shared" si="75"/>
        <v>540</v>
      </c>
      <c r="H55" s="77">
        <f t="shared" si="17"/>
        <v>1073.33</v>
      </c>
      <c r="I55" s="78">
        <v>14</v>
      </c>
      <c r="J55" s="72">
        <v>14</v>
      </c>
      <c r="L55" s="79">
        <v>45963</v>
      </c>
      <c r="M55" s="80"/>
      <c r="N55" s="81" t="str">
        <f t="shared" ca="1" si="105"/>
        <v>O.K.</v>
      </c>
      <c r="W55" s="1" t="s">
        <v>99</v>
      </c>
      <c r="X55" s="31">
        <v>0</v>
      </c>
      <c r="Y55" s="31">
        <v>0</v>
      </c>
      <c r="Z55" s="32">
        <v>0</v>
      </c>
      <c r="AA55" s="32">
        <v>0</v>
      </c>
      <c r="AB55" s="32">
        <v>0</v>
      </c>
      <c r="AC55" s="25">
        <v>0</v>
      </c>
      <c r="AD55" s="22">
        <f t="shared" si="18"/>
        <v>0</v>
      </c>
      <c r="AE55" s="43">
        <v>0</v>
      </c>
      <c r="AF55" s="43">
        <v>0</v>
      </c>
      <c r="AG55" s="32">
        <v>0</v>
      </c>
      <c r="AH55" s="12">
        <f t="shared" si="35"/>
        <v>0</v>
      </c>
      <c r="AI55" s="43">
        <v>0</v>
      </c>
      <c r="AJ55" s="43">
        <v>0</v>
      </c>
      <c r="AK55" s="32">
        <v>0</v>
      </c>
      <c r="AL55" s="25">
        <f t="shared" si="36"/>
        <v>0</v>
      </c>
      <c r="AM55" s="43">
        <f t="shared" si="20"/>
        <v>0</v>
      </c>
      <c r="AN55" s="43">
        <f>+(0)+(174)+(0)+(0)+(96)+(0)</f>
        <v>270</v>
      </c>
      <c r="AO55" s="59">
        <v>120</v>
      </c>
      <c r="AP55" s="62">
        <f t="shared" si="37"/>
        <v>150</v>
      </c>
      <c r="AQ55" s="65">
        <f>+(0)+(0)+(0)+(0)+(204)+(198)</f>
        <v>402</v>
      </c>
      <c r="AR55" s="65">
        <f>+(0)+(225)+(0)+(0)+(0)+(0)</f>
        <v>225</v>
      </c>
      <c r="AS55" s="118">
        <v>120</v>
      </c>
      <c r="AT55" s="62">
        <f t="shared" si="38"/>
        <v>657</v>
      </c>
      <c r="AU55" s="25">
        <f>+(0)+(0)+(0)+(78)</f>
        <v>78</v>
      </c>
      <c r="AV55" s="25">
        <f>+(0)+(0)+(0)+(0)+(66)+(0)+(0)+(0)</f>
        <v>66</v>
      </c>
      <c r="AW55" s="25">
        <v>150</v>
      </c>
      <c r="AX55" s="25">
        <f t="shared" si="76"/>
        <v>651</v>
      </c>
      <c r="AY55" s="151">
        <f t="shared" si="13"/>
        <v>0</v>
      </c>
      <c r="AZ55" s="151">
        <f>+(0)+(0)+(12)+(0)+(54)+(0)+(0)+(0)</f>
        <v>66</v>
      </c>
      <c r="BA55" s="207">
        <v>150</v>
      </c>
      <c r="BB55" s="207">
        <f t="shared" si="85"/>
        <v>567</v>
      </c>
      <c r="BC55" s="208">
        <f t="shared" si="22"/>
        <v>540</v>
      </c>
    </row>
    <row r="56" spans="1:55" ht="25.8" thickBot="1" x14ac:dyDescent="0.65">
      <c r="A56" s="64">
        <v>48</v>
      </c>
      <c r="B56" s="126" t="s">
        <v>163</v>
      </c>
      <c r="C56" s="127" t="s">
        <v>13</v>
      </c>
      <c r="D56" s="135">
        <v>45324</v>
      </c>
      <c r="E56" s="130">
        <v>0</v>
      </c>
      <c r="F56" s="130">
        <f t="shared" si="16"/>
        <v>0</v>
      </c>
      <c r="G56" s="130">
        <f t="shared" si="75"/>
        <v>270</v>
      </c>
      <c r="H56" s="131">
        <f t="shared" si="17"/>
        <v>270</v>
      </c>
      <c r="I56" s="132">
        <v>15</v>
      </c>
      <c r="J56" s="72">
        <v>15</v>
      </c>
      <c r="L56" s="133">
        <v>46055</v>
      </c>
      <c r="M56" s="124"/>
      <c r="N56" s="125" t="str">
        <f t="shared" ca="1" si="105"/>
        <v>O.K.</v>
      </c>
      <c r="W56" s="1" t="s">
        <v>159</v>
      </c>
      <c r="X56" s="61">
        <v>30</v>
      </c>
      <c r="Y56" s="31">
        <v>0</v>
      </c>
      <c r="Z56" s="32">
        <v>0</v>
      </c>
      <c r="AA56" s="32">
        <v>0</v>
      </c>
      <c r="AB56" s="32">
        <v>0</v>
      </c>
      <c r="AC56" s="25">
        <v>0</v>
      </c>
      <c r="AD56" s="22">
        <f t="shared" si="18"/>
        <v>0</v>
      </c>
      <c r="AE56" s="43">
        <v>0</v>
      </c>
      <c r="AF56" s="43">
        <v>0</v>
      </c>
      <c r="AG56" s="32">
        <v>0</v>
      </c>
      <c r="AH56" s="12">
        <f t="shared" si="35"/>
        <v>0</v>
      </c>
      <c r="AI56" s="43">
        <v>0</v>
      </c>
      <c r="AJ56" s="43">
        <v>0</v>
      </c>
      <c r="AK56" s="32">
        <v>0</v>
      </c>
      <c r="AL56" s="25">
        <f t="shared" si="36"/>
        <v>0</v>
      </c>
      <c r="AM56" s="43">
        <v>0</v>
      </c>
      <c r="AN56" s="43">
        <v>0</v>
      </c>
      <c r="AO56" s="59">
        <v>0</v>
      </c>
      <c r="AP56" s="62">
        <f t="shared" si="37"/>
        <v>0</v>
      </c>
      <c r="AQ56" s="65">
        <f t="shared" si="74"/>
        <v>0</v>
      </c>
      <c r="AR56" s="65">
        <f t="shared" si="74"/>
        <v>0</v>
      </c>
      <c r="AS56" s="118">
        <v>0</v>
      </c>
      <c r="AT56" s="62">
        <f t="shared" si="38"/>
        <v>0</v>
      </c>
      <c r="AU56" s="25">
        <f t="shared" si="41"/>
        <v>0</v>
      </c>
      <c r="AV56" s="25">
        <f>+(0)+(0)+(96)+(0)+(120)+(0)+(0)+(0)</f>
        <v>216</v>
      </c>
      <c r="AW56" s="25">
        <v>120</v>
      </c>
      <c r="AX56" s="25">
        <f t="shared" si="76"/>
        <v>96</v>
      </c>
      <c r="AY56" s="151">
        <f>+(0)+(0)+(0)+(37.8)</f>
        <v>37.799999999999997</v>
      </c>
      <c r="AZ56" s="151">
        <f>+(30)+(0)+(0)+(78)+(0)+(60)+(0)+(0)</f>
        <v>168</v>
      </c>
      <c r="BA56" s="207">
        <v>120</v>
      </c>
      <c r="BB56" s="207">
        <f t="shared" si="85"/>
        <v>181.8</v>
      </c>
      <c r="BC56" s="208">
        <f t="shared" si="22"/>
        <v>270</v>
      </c>
    </row>
    <row r="57" spans="1:55" ht="25.8" thickBot="1" x14ac:dyDescent="0.65">
      <c r="A57" s="64">
        <v>49</v>
      </c>
      <c r="B57" s="126" t="s">
        <v>114</v>
      </c>
      <c r="C57" s="127" t="s">
        <v>13</v>
      </c>
      <c r="D57" s="135">
        <v>44697</v>
      </c>
      <c r="E57" s="130">
        <v>1</v>
      </c>
      <c r="F57" s="130">
        <f t="shared" ref="F57" si="123">+E57*$C$1</f>
        <v>533.33000000000004</v>
      </c>
      <c r="G57" s="130">
        <f t="shared" ref="G57:G58" si="124">+BC57</f>
        <v>331.8</v>
      </c>
      <c r="H57" s="131">
        <f t="shared" ref="H57:H58" si="125">+F57+G57</f>
        <v>865.13000000000011</v>
      </c>
      <c r="I57" s="132">
        <v>14</v>
      </c>
      <c r="J57" s="72">
        <v>14</v>
      </c>
      <c r="L57" s="133">
        <v>46067</v>
      </c>
      <c r="M57" s="124"/>
      <c r="N57" s="125" t="str">
        <f t="shared" ca="1" si="105"/>
        <v>O.K.</v>
      </c>
      <c r="W57" s="1" t="s">
        <v>114</v>
      </c>
      <c r="X57" s="31">
        <v>0</v>
      </c>
      <c r="Y57" s="31">
        <v>0</v>
      </c>
      <c r="Z57" s="32">
        <v>0</v>
      </c>
      <c r="AA57" s="32">
        <v>0</v>
      </c>
      <c r="AB57" s="32">
        <v>0</v>
      </c>
      <c r="AC57" s="25">
        <v>0</v>
      </c>
      <c r="AD57" s="22">
        <f t="shared" si="18"/>
        <v>0</v>
      </c>
      <c r="AE57" s="43">
        <v>0</v>
      </c>
      <c r="AF57" s="43">
        <v>0</v>
      </c>
      <c r="AG57" s="32">
        <v>0</v>
      </c>
      <c r="AH57" s="12">
        <f t="shared" si="35"/>
        <v>0</v>
      </c>
      <c r="AI57" s="43">
        <v>0</v>
      </c>
      <c r="AJ57" s="43">
        <v>0</v>
      </c>
      <c r="AK57" s="32">
        <v>0</v>
      </c>
      <c r="AL57" s="25">
        <f t="shared" si="36"/>
        <v>0</v>
      </c>
      <c r="AM57" s="43">
        <f t="shared" si="20"/>
        <v>0</v>
      </c>
      <c r="AN57" s="43">
        <f t="shared" si="20"/>
        <v>0</v>
      </c>
      <c r="AO57" s="59">
        <v>0</v>
      </c>
      <c r="AP57" s="62">
        <f t="shared" si="37"/>
        <v>0</v>
      </c>
      <c r="AQ57" s="65">
        <f t="shared" si="74"/>
        <v>0</v>
      </c>
      <c r="AR57" s="65">
        <f>+(0)+(205.2)+(0)+(0)+(0)+(0)</f>
        <v>205.2</v>
      </c>
      <c r="AS57" s="118">
        <v>120</v>
      </c>
      <c r="AT57" s="62">
        <f t="shared" si="38"/>
        <v>85.199999999999989</v>
      </c>
      <c r="AU57" s="25">
        <f t="shared" si="41"/>
        <v>0</v>
      </c>
      <c r="AV57" s="25">
        <f>+(0)+(0)+(0)+(0)+(0)+(0)+(96.6)+(30)</f>
        <v>126.6</v>
      </c>
      <c r="AW57" s="51">
        <v>120</v>
      </c>
      <c r="AX57" s="51">
        <f t="shared" si="76"/>
        <v>91.799999999999983</v>
      </c>
      <c r="AY57" s="151">
        <f t="shared" si="13"/>
        <v>0</v>
      </c>
      <c r="AZ57" s="151">
        <f t="shared" si="14"/>
        <v>0</v>
      </c>
      <c r="BA57" s="207">
        <v>91.8</v>
      </c>
      <c r="BB57" s="207">
        <f t="shared" si="85"/>
        <v>0</v>
      </c>
      <c r="BC57" s="208">
        <f t="shared" si="22"/>
        <v>331.8</v>
      </c>
    </row>
    <row r="58" spans="1:55" ht="25.8" thickBot="1" x14ac:dyDescent="0.65">
      <c r="A58" s="64">
        <v>50</v>
      </c>
      <c r="B58" s="126" t="s">
        <v>122</v>
      </c>
      <c r="C58" s="127" t="s">
        <v>21</v>
      </c>
      <c r="D58" s="135">
        <v>44896</v>
      </c>
      <c r="E58" s="130">
        <v>1</v>
      </c>
      <c r="F58" s="130">
        <f t="shared" ref="F58" si="126">+E58*$C$1</f>
        <v>533.33000000000004</v>
      </c>
      <c r="G58" s="130">
        <f t="shared" si="124"/>
        <v>360</v>
      </c>
      <c r="H58" s="131">
        <f t="shared" si="125"/>
        <v>893.33</v>
      </c>
      <c r="I58" s="132">
        <v>14</v>
      </c>
      <c r="J58" s="72">
        <v>14</v>
      </c>
      <c r="L58" s="133">
        <v>46023</v>
      </c>
      <c r="M58" s="124"/>
      <c r="N58" s="125" t="str">
        <f t="shared" ca="1" si="105"/>
        <v>O.K.</v>
      </c>
      <c r="W58" s="1" t="s">
        <v>122</v>
      </c>
      <c r="X58" s="31">
        <v>0</v>
      </c>
      <c r="Y58" s="31">
        <v>0</v>
      </c>
      <c r="Z58" s="32">
        <v>0</v>
      </c>
      <c r="AA58" s="32">
        <v>0</v>
      </c>
      <c r="AB58" s="32">
        <v>0</v>
      </c>
      <c r="AC58" s="25">
        <v>0</v>
      </c>
      <c r="AD58" s="22">
        <f t="shared" si="18"/>
        <v>0</v>
      </c>
      <c r="AE58" s="43">
        <v>0</v>
      </c>
      <c r="AF58" s="43">
        <v>0</v>
      </c>
      <c r="AG58" s="32">
        <v>0</v>
      </c>
      <c r="AH58" s="12">
        <f t="shared" si="35"/>
        <v>0</v>
      </c>
      <c r="AI58" s="43">
        <v>0</v>
      </c>
      <c r="AJ58" s="43">
        <v>0</v>
      </c>
      <c r="AK58" s="32">
        <v>0</v>
      </c>
      <c r="AL58" s="25">
        <f t="shared" si="36"/>
        <v>0</v>
      </c>
      <c r="AM58" s="43">
        <v>0</v>
      </c>
      <c r="AN58" s="43">
        <v>0</v>
      </c>
      <c r="AO58" s="59">
        <v>0</v>
      </c>
      <c r="AP58" s="62">
        <f t="shared" si="37"/>
        <v>0</v>
      </c>
      <c r="AQ58" s="65">
        <f>+(0)+(0)+(0)+(0)+(0)+(402)</f>
        <v>402</v>
      </c>
      <c r="AR58" s="65">
        <f>+(0)+(204)+(0)+(0)+(0)+(0)</f>
        <v>204</v>
      </c>
      <c r="AS58" s="118">
        <v>120</v>
      </c>
      <c r="AT58" s="62">
        <f t="shared" si="38"/>
        <v>486</v>
      </c>
      <c r="AU58" s="25">
        <f>+(0)+(0)+(0)+(78)</f>
        <v>78</v>
      </c>
      <c r="AV58" s="25">
        <f>+(0)+(0)+(96)+(0)+(0)+(0)+(0)+(0)</f>
        <v>96</v>
      </c>
      <c r="AW58" s="25">
        <v>120</v>
      </c>
      <c r="AX58" s="25">
        <f t="shared" si="76"/>
        <v>540</v>
      </c>
      <c r="AY58" s="151">
        <f>+(0)+(30)+(0)+(37.8)</f>
        <v>67.8</v>
      </c>
      <c r="AZ58" s="151">
        <f>+(30)+(0)+(0)+(0)+(0)+(0)+(0)+(0)</f>
        <v>30</v>
      </c>
      <c r="BA58" s="207">
        <v>120</v>
      </c>
      <c r="BB58" s="207">
        <f t="shared" si="85"/>
        <v>517.79999999999995</v>
      </c>
      <c r="BC58" s="208">
        <f t="shared" si="22"/>
        <v>360</v>
      </c>
    </row>
    <row r="59" spans="1:55" ht="25.8" thickBot="1" x14ac:dyDescent="0.65">
      <c r="A59" s="64">
        <v>51</v>
      </c>
      <c r="B59" s="73" t="s">
        <v>108</v>
      </c>
      <c r="C59" s="74" t="s">
        <v>13</v>
      </c>
      <c r="D59" s="83">
        <v>44621</v>
      </c>
      <c r="E59" s="76">
        <v>1</v>
      </c>
      <c r="F59" s="76">
        <f t="shared" si="16"/>
        <v>533.33000000000004</v>
      </c>
      <c r="G59" s="76">
        <f t="shared" si="75"/>
        <v>480</v>
      </c>
      <c r="H59" s="77">
        <f t="shared" si="17"/>
        <v>1013.33</v>
      </c>
      <c r="I59" s="78">
        <v>14</v>
      </c>
      <c r="J59" s="72">
        <v>14</v>
      </c>
      <c r="L59" s="79">
        <v>45949</v>
      </c>
      <c r="M59" s="80"/>
      <c r="N59" s="81" t="str">
        <f t="shared" ca="1" si="105"/>
        <v>O.K.</v>
      </c>
      <c r="W59" s="1" t="s">
        <v>108</v>
      </c>
      <c r="X59" s="31">
        <v>0</v>
      </c>
      <c r="Y59" s="31">
        <v>0</v>
      </c>
      <c r="Z59" s="32">
        <v>0</v>
      </c>
      <c r="AA59" s="32">
        <v>0</v>
      </c>
      <c r="AB59" s="32">
        <v>0</v>
      </c>
      <c r="AC59" s="25">
        <v>0</v>
      </c>
      <c r="AD59" s="22">
        <f t="shared" si="18"/>
        <v>0</v>
      </c>
      <c r="AE59" s="43">
        <v>0</v>
      </c>
      <c r="AF59" s="43">
        <v>0</v>
      </c>
      <c r="AG59" s="32">
        <v>0</v>
      </c>
      <c r="AH59" s="12">
        <f t="shared" si="35"/>
        <v>0</v>
      </c>
      <c r="AI59" s="43">
        <v>0</v>
      </c>
      <c r="AJ59" s="43">
        <v>0</v>
      </c>
      <c r="AK59" s="32">
        <v>0</v>
      </c>
      <c r="AL59" s="25">
        <f t="shared" si="36"/>
        <v>0</v>
      </c>
      <c r="AM59" s="43">
        <f t="shared" si="20"/>
        <v>0</v>
      </c>
      <c r="AN59" s="43">
        <f>+(0)+(0)+(156)+(0)+(171.6)+(0)</f>
        <v>327.60000000000002</v>
      </c>
      <c r="AO59" s="59">
        <v>120</v>
      </c>
      <c r="AP59" s="62">
        <f t="shared" si="37"/>
        <v>207.60000000000002</v>
      </c>
      <c r="AQ59" s="65">
        <f>+(0)+(0)+(0)+(0)+(54.6)+(0)</f>
        <v>54.6</v>
      </c>
      <c r="AR59" s="65">
        <f t="shared" si="74"/>
        <v>0</v>
      </c>
      <c r="AS59" s="118">
        <v>120</v>
      </c>
      <c r="AT59" s="62">
        <f t="shared" si="38"/>
        <v>142.20000000000005</v>
      </c>
      <c r="AU59" s="25">
        <f>+(0)+(138)+(0)+(78)</f>
        <v>216</v>
      </c>
      <c r="AV59" s="25">
        <f>+(0)+(0)+(96)+(0)+(0)+(0)+(0)+(0)</f>
        <v>96</v>
      </c>
      <c r="AW59" s="25">
        <v>120</v>
      </c>
      <c r="AX59" s="25">
        <f t="shared" si="76"/>
        <v>334.20000000000005</v>
      </c>
      <c r="AY59" s="151">
        <f>+(0)+(0)+(0)+(37.8)</f>
        <v>37.799999999999997</v>
      </c>
      <c r="AZ59" s="151">
        <f>+(0)+(0)+(30)+(0)+(30)+(30)+(0)+(0)</f>
        <v>90</v>
      </c>
      <c r="BA59" s="207">
        <v>120</v>
      </c>
      <c r="BB59" s="207">
        <f t="shared" si="85"/>
        <v>342.00000000000006</v>
      </c>
      <c r="BC59" s="208">
        <f t="shared" si="22"/>
        <v>480</v>
      </c>
    </row>
    <row r="60" spans="1:55" ht="25.8" thickBot="1" x14ac:dyDescent="0.65">
      <c r="A60" s="64">
        <v>52</v>
      </c>
      <c r="B60" s="126" t="s">
        <v>127</v>
      </c>
      <c r="C60" s="127" t="s">
        <v>15</v>
      </c>
      <c r="D60" s="135">
        <v>45005</v>
      </c>
      <c r="E60" s="130">
        <v>3</v>
      </c>
      <c r="F60" s="130">
        <f t="shared" si="16"/>
        <v>1599.9900000000002</v>
      </c>
      <c r="G60" s="130">
        <f t="shared" ref="G60" si="127">+BC60</f>
        <v>3074.7</v>
      </c>
      <c r="H60" s="131">
        <f t="shared" ref="H60" si="128">+F60+G60</f>
        <v>4674.6900000000005</v>
      </c>
      <c r="I60" s="132">
        <v>10</v>
      </c>
      <c r="J60" s="72">
        <v>10</v>
      </c>
      <c r="L60" s="133">
        <v>46206</v>
      </c>
      <c r="M60" s="124"/>
      <c r="N60" s="125" t="str">
        <f t="shared" ca="1" si="105"/>
        <v>O.K.</v>
      </c>
      <c r="W60" s="1" t="s">
        <v>127</v>
      </c>
      <c r="X60" s="61">
        <v>2624.7</v>
      </c>
      <c r="Y60" s="31">
        <v>0</v>
      </c>
      <c r="Z60" s="32">
        <v>0</v>
      </c>
      <c r="AA60" s="32">
        <v>0</v>
      </c>
      <c r="AB60" s="32">
        <v>0</v>
      </c>
      <c r="AC60" s="25">
        <v>0</v>
      </c>
      <c r="AD60" s="22">
        <f t="shared" si="18"/>
        <v>0</v>
      </c>
      <c r="AE60" s="43">
        <v>0</v>
      </c>
      <c r="AF60" s="43">
        <v>0</v>
      </c>
      <c r="AG60" s="32">
        <v>0</v>
      </c>
      <c r="AH60" s="12">
        <f t="shared" si="35"/>
        <v>0</v>
      </c>
      <c r="AI60" s="43">
        <v>0</v>
      </c>
      <c r="AJ60" s="43">
        <v>0</v>
      </c>
      <c r="AK60" s="32">
        <v>0</v>
      </c>
      <c r="AL60" s="25">
        <f t="shared" si="36"/>
        <v>0</v>
      </c>
      <c r="AM60" s="43">
        <v>0</v>
      </c>
      <c r="AN60" s="43">
        <v>0</v>
      </c>
      <c r="AO60" s="59">
        <v>0</v>
      </c>
      <c r="AP60" s="62">
        <f t="shared" si="37"/>
        <v>0</v>
      </c>
      <c r="AQ60" s="65">
        <f>+(0)+(0)+(0)+(0)+(0)+(120)</f>
        <v>120</v>
      </c>
      <c r="AR60" s="65">
        <f>+(120)+(0)+(0)+(0)+(0)+(0)</f>
        <v>120</v>
      </c>
      <c r="AS60" s="118">
        <v>150</v>
      </c>
      <c r="AT60" s="62">
        <f t="shared" si="38"/>
        <v>90</v>
      </c>
      <c r="AU60" s="25">
        <f t="shared" si="41"/>
        <v>0</v>
      </c>
      <c r="AV60" s="25">
        <f>+(0)+(0)+(150.6)+(0)+(0)+(0)+(0)+(0)</f>
        <v>150.6</v>
      </c>
      <c r="AW60" s="25">
        <v>150</v>
      </c>
      <c r="AX60" s="25">
        <f t="shared" si="76"/>
        <v>90.6</v>
      </c>
      <c r="AY60" s="151">
        <f t="shared" si="13"/>
        <v>0</v>
      </c>
      <c r="AZ60" s="151">
        <f>+(0)+(0)+(156)+(0)+(0)+(0)+(0)+(0)</f>
        <v>156</v>
      </c>
      <c r="BA60" s="207">
        <v>150</v>
      </c>
      <c r="BB60" s="207">
        <f t="shared" si="85"/>
        <v>96.6</v>
      </c>
      <c r="BC60" s="208">
        <f t="shared" si="22"/>
        <v>3074.7</v>
      </c>
    </row>
    <row r="61" spans="1:55" ht="25.8" thickBot="1" x14ac:dyDescent="0.65">
      <c r="A61" s="64">
        <v>53</v>
      </c>
      <c r="B61" s="126" t="s">
        <v>53</v>
      </c>
      <c r="C61" s="127" t="s">
        <v>26</v>
      </c>
      <c r="D61" s="128">
        <v>43191</v>
      </c>
      <c r="E61" s="130">
        <v>3</v>
      </c>
      <c r="F61" s="130">
        <f t="shared" si="16"/>
        <v>1599.9900000000002</v>
      </c>
      <c r="G61" s="130">
        <f>+'BIENIOS DEPARTAMENTO DE SALUD'!BC61</f>
        <v>936</v>
      </c>
      <c r="H61" s="131">
        <f t="shared" si="17"/>
        <v>2535.9900000000002</v>
      </c>
      <c r="I61" s="132">
        <v>12</v>
      </c>
      <c r="J61" s="72">
        <v>12</v>
      </c>
      <c r="L61" s="136">
        <v>46113</v>
      </c>
      <c r="M61" s="124"/>
      <c r="N61" s="125" t="str">
        <f t="shared" ca="1" si="105"/>
        <v>O.K.</v>
      </c>
      <c r="W61" s="1" t="s">
        <v>53</v>
      </c>
      <c r="X61" s="31">
        <v>0</v>
      </c>
      <c r="Y61" s="31">
        <v>0</v>
      </c>
      <c r="Z61" s="32">
        <v>0</v>
      </c>
      <c r="AA61" s="32">
        <v>96</v>
      </c>
      <c r="AB61" s="32">
        <v>120</v>
      </c>
      <c r="AC61" s="25">
        <v>186</v>
      </c>
      <c r="AD61" s="22">
        <f t="shared" si="18"/>
        <v>66</v>
      </c>
      <c r="AE61" s="43">
        <v>54</v>
      </c>
      <c r="AF61" s="43">
        <f>+(0)+(54)+(78)+(0)+(78)+(162)</f>
        <v>372</v>
      </c>
      <c r="AG61" s="32">
        <v>120</v>
      </c>
      <c r="AH61" s="12">
        <f t="shared" si="35"/>
        <v>372</v>
      </c>
      <c r="AI61" s="43">
        <f t="shared" si="86"/>
        <v>0</v>
      </c>
      <c r="AJ61" s="43">
        <f>+(78)+(96)+(0)+(0)+(54.6)+(0)</f>
        <v>228.6</v>
      </c>
      <c r="AK61" s="32">
        <v>120</v>
      </c>
      <c r="AL61" s="25">
        <f t="shared" si="36"/>
        <v>480.6</v>
      </c>
      <c r="AM61" s="43">
        <f>+(0)+(0)+(0)+(0)+(30)+(0)</f>
        <v>30</v>
      </c>
      <c r="AN61" s="43">
        <f t="shared" si="20"/>
        <v>0</v>
      </c>
      <c r="AO61" s="59">
        <v>120</v>
      </c>
      <c r="AP61" s="62">
        <f t="shared" si="37"/>
        <v>390.6</v>
      </c>
      <c r="AQ61" s="65">
        <f>+(0)+(0)+(0)+(0)+(132)+(0)</f>
        <v>132</v>
      </c>
      <c r="AR61" s="65">
        <f>+(0)+(204)+(0)+(0)+(0)+(0)</f>
        <v>204</v>
      </c>
      <c r="AS61" s="118">
        <v>120</v>
      </c>
      <c r="AT61" s="62">
        <f t="shared" si="38"/>
        <v>606.6</v>
      </c>
      <c r="AU61" s="25">
        <f t="shared" si="41"/>
        <v>0</v>
      </c>
      <c r="AV61" s="25">
        <f t="shared" si="48"/>
        <v>0</v>
      </c>
      <c r="AW61" s="25">
        <v>120</v>
      </c>
      <c r="AX61" s="25">
        <f t="shared" si="76"/>
        <v>486.6</v>
      </c>
      <c r="AY61" s="151">
        <f t="shared" si="13"/>
        <v>0</v>
      </c>
      <c r="AZ61" s="151">
        <f>+(0)+(30)+(0)+(0)+(0)+(0)+(0)+(0)</f>
        <v>30</v>
      </c>
      <c r="BA61" s="207">
        <v>120</v>
      </c>
      <c r="BB61" s="207">
        <f t="shared" si="85"/>
        <v>396.6</v>
      </c>
      <c r="BC61" s="208">
        <f t="shared" si="22"/>
        <v>936</v>
      </c>
    </row>
    <row r="62" spans="1:55" ht="25.8" thickBot="1" x14ac:dyDescent="0.65">
      <c r="A62" s="64">
        <v>54</v>
      </c>
      <c r="B62" s="126" t="s">
        <v>177</v>
      </c>
      <c r="C62" s="127" t="s">
        <v>18</v>
      </c>
      <c r="D62" s="128">
        <v>45551</v>
      </c>
      <c r="E62" s="130">
        <v>0</v>
      </c>
      <c r="F62" s="130">
        <f t="shared" si="16"/>
        <v>0</v>
      </c>
      <c r="G62" s="130">
        <f>+'BIENIOS DEPARTAMENTO DE SALUD'!BC62</f>
        <v>0</v>
      </c>
      <c r="H62" s="131">
        <f t="shared" ref="H62" si="129">+F62+G62</f>
        <v>0</v>
      </c>
      <c r="I62" s="132">
        <v>15</v>
      </c>
      <c r="J62" s="72">
        <v>15</v>
      </c>
      <c r="L62" s="136">
        <v>46281</v>
      </c>
      <c r="M62" s="124"/>
      <c r="N62" s="125" t="str">
        <f t="shared" ca="1" si="105"/>
        <v>O.K.</v>
      </c>
      <c r="W62" s="1" t="s">
        <v>177</v>
      </c>
      <c r="X62" s="31"/>
      <c r="Y62" s="31"/>
      <c r="Z62" s="32"/>
      <c r="AA62" s="32"/>
      <c r="AB62" s="32"/>
      <c r="AC62" s="25"/>
      <c r="AD62" s="22"/>
      <c r="AE62" s="43"/>
      <c r="AF62" s="43"/>
      <c r="AG62" s="32"/>
      <c r="AH62" s="12"/>
      <c r="AI62" s="43"/>
      <c r="AJ62" s="43"/>
      <c r="AK62" s="32"/>
      <c r="AL62" s="25"/>
      <c r="AM62" s="43"/>
      <c r="AN62" s="43"/>
      <c r="AO62" s="59"/>
      <c r="AP62" s="62"/>
      <c r="AQ62" s="65"/>
      <c r="AR62" s="65"/>
      <c r="AS62" s="118"/>
      <c r="AT62" s="62"/>
      <c r="AU62" s="25"/>
      <c r="AV62" s="25"/>
      <c r="AW62" s="25"/>
      <c r="AX62" s="25"/>
      <c r="AY62" s="151">
        <f t="shared" si="13"/>
        <v>0</v>
      </c>
      <c r="AZ62" s="151">
        <f t="shared" si="14"/>
        <v>0</v>
      </c>
      <c r="BA62" s="207">
        <v>0</v>
      </c>
      <c r="BB62" s="207">
        <f t="shared" ref="BB62" si="130">(AX62+AY62+AZ62)-BA62</f>
        <v>0</v>
      </c>
      <c r="BC62" s="208">
        <f t="shared" ref="BC62" si="131">SUM(X62:AA62)+AB62+AG62+AK62+AO62+AS62+AW62+BA62</f>
        <v>0</v>
      </c>
    </row>
    <row r="63" spans="1:55" ht="25.8" thickBot="1" x14ac:dyDescent="0.65">
      <c r="A63" s="64">
        <v>55</v>
      </c>
      <c r="B63" s="73" t="s">
        <v>100</v>
      </c>
      <c r="C63" s="74" t="s">
        <v>15</v>
      </c>
      <c r="D63" s="75">
        <v>44562</v>
      </c>
      <c r="E63" s="76">
        <v>1</v>
      </c>
      <c r="F63" s="76">
        <f t="shared" si="16"/>
        <v>533.33000000000004</v>
      </c>
      <c r="G63" s="76">
        <f>+'BIENIOS DEPARTAMENTO DE SALUD'!BC63</f>
        <v>600</v>
      </c>
      <c r="H63" s="77">
        <f t="shared" si="17"/>
        <v>1133.33</v>
      </c>
      <c r="I63" s="78">
        <v>14</v>
      </c>
      <c r="J63" s="72">
        <v>14</v>
      </c>
      <c r="L63" s="97">
        <v>45931</v>
      </c>
      <c r="M63" s="80"/>
      <c r="N63" s="81" t="str">
        <f t="shared" ca="1" si="105"/>
        <v>O.K.</v>
      </c>
      <c r="W63" s="1" t="s">
        <v>100</v>
      </c>
      <c r="X63" s="31">
        <v>0</v>
      </c>
      <c r="Y63" s="31">
        <v>0</v>
      </c>
      <c r="Z63" s="32">
        <v>0</v>
      </c>
      <c r="AA63" s="32">
        <v>0</v>
      </c>
      <c r="AB63" s="32">
        <v>0</v>
      </c>
      <c r="AC63" s="25">
        <v>0</v>
      </c>
      <c r="AD63" s="22">
        <f t="shared" si="18"/>
        <v>0</v>
      </c>
      <c r="AE63" s="43">
        <v>0</v>
      </c>
      <c r="AF63" s="43">
        <v>0</v>
      </c>
      <c r="AG63" s="32">
        <v>0</v>
      </c>
      <c r="AH63" s="12">
        <f t="shared" si="35"/>
        <v>0</v>
      </c>
      <c r="AI63" s="43">
        <v>0</v>
      </c>
      <c r="AJ63" s="43">
        <v>0</v>
      </c>
      <c r="AK63" s="32">
        <v>0</v>
      </c>
      <c r="AL63" s="25">
        <f t="shared" si="36"/>
        <v>0</v>
      </c>
      <c r="AM63" s="43">
        <f t="shared" si="20"/>
        <v>0</v>
      </c>
      <c r="AN63" s="43">
        <f>+(0)+(0)+(0)+(0)+(0)+(252)</f>
        <v>252</v>
      </c>
      <c r="AO63" s="59">
        <v>150</v>
      </c>
      <c r="AP63" s="62">
        <f t="shared" si="37"/>
        <v>102</v>
      </c>
      <c r="AQ63" s="65">
        <f>+(204)+(0)+(0)+(0)+(54)+(0)</f>
        <v>258</v>
      </c>
      <c r="AR63" s="65">
        <f t="shared" si="74"/>
        <v>0</v>
      </c>
      <c r="AS63" s="118">
        <v>150</v>
      </c>
      <c r="AT63" s="62">
        <f t="shared" si="38"/>
        <v>210</v>
      </c>
      <c r="AU63" s="25">
        <f>+(0)+(120)+(30)+(96)</f>
        <v>246</v>
      </c>
      <c r="AV63" s="25">
        <f>+(0)+(0)+(78)+(0)+(0)+(0)+(0)+(0)</f>
        <v>78</v>
      </c>
      <c r="AW63" s="25">
        <v>150</v>
      </c>
      <c r="AX63" s="25">
        <f t="shared" si="76"/>
        <v>384</v>
      </c>
      <c r="AY63" s="151">
        <f>+(0)+(0)+(0)+(108)</f>
        <v>108</v>
      </c>
      <c r="AZ63" s="151">
        <f>+(0)+(0)+(67.2)+(0)+(0)+(0)+(0)+(0)</f>
        <v>67.2</v>
      </c>
      <c r="BA63" s="207">
        <v>150</v>
      </c>
      <c r="BB63" s="207">
        <f t="shared" si="85"/>
        <v>409.20000000000005</v>
      </c>
      <c r="BC63" s="208">
        <f t="shared" si="22"/>
        <v>600</v>
      </c>
    </row>
    <row r="64" spans="1:55" ht="25.8" thickBot="1" x14ac:dyDescent="0.65">
      <c r="A64" s="64">
        <v>56</v>
      </c>
      <c r="B64" s="126" t="s">
        <v>59</v>
      </c>
      <c r="C64" s="127" t="s">
        <v>15</v>
      </c>
      <c r="D64" s="128">
        <v>42377</v>
      </c>
      <c r="E64" s="130">
        <v>4</v>
      </c>
      <c r="F64" s="130">
        <f t="shared" si="16"/>
        <v>2133.3200000000002</v>
      </c>
      <c r="G64" s="130">
        <f>+'BIENIOS DEPARTAMENTO DE SALUD'!BC64</f>
        <v>1446</v>
      </c>
      <c r="H64" s="131">
        <f t="shared" si="17"/>
        <v>3579.32</v>
      </c>
      <c r="I64" s="132">
        <v>11</v>
      </c>
      <c r="J64" s="72">
        <v>11</v>
      </c>
      <c r="L64" s="136">
        <v>46029</v>
      </c>
      <c r="M64" s="124"/>
      <c r="N64" s="125" t="str">
        <f t="shared" ca="1" si="105"/>
        <v>O.K.</v>
      </c>
      <c r="W64" s="1" t="s">
        <v>59</v>
      </c>
      <c r="X64" s="31">
        <v>0</v>
      </c>
      <c r="Y64" s="31">
        <v>96</v>
      </c>
      <c r="Z64" s="32">
        <v>150</v>
      </c>
      <c r="AA64" s="32">
        <v>150</v>
      </c>
      <c r="AB64" s="32">
        <v>150</v>
      </c>
      <c r="AC64" s="25">
        <v>564.6</v>
      </c>
      <c r="AD64" s="22">
        <f t="shared" si="18"/>
        <v>414.6</v>
      </c>
      <c r="AE64" s="43">
        <v>0</v>
      </c>
      <c r="AF64" s="43">
        <f>+(0)+(0)+(0)+(0)+(54)+(138)</f>
        <v>192</v>
      </c>
      <c r="AG64" s="32">
        <v>150</v>
      </c>
      <c r="AH64" s="12">
        <f t="shared" si="35"/>
        <v>456.6</v>
      </c>
      <c r="AI64" s="43">
        <f t="shared" si="86"/>
        <v>0</v>
      </c>
      <c r="AJ64" s="43">
        <f>+(78)+(0)+(84)+(0)+(78)+(0)</f>
        <v>240</v>
      </c>
      <c r="AK64" s="32">
        <v>150</v>
      </c>
      <c r="AL64" s="25">
        <f t="shared" si="36"/>
        <v>546.6</v>
      </c>
      <c r="AM64" s="43">
        <f t="shared" si="20"/>
        <v>0</v>
      </c>
      <c r="AN64" s="43">
        <f t="shared" si="20"/>
        <v>0</v>
      </c>
      <c r="AO64" s="59">
        <v>150</v>
      </c>
      <c r="AP64" s="62">
        <f t="shared" si="37"/>
        <v>396.6</v>
      </c>
      <c r="AQ64" s="65">
        <f>+(0)+(0)+(0)+(0)+(54)+(0)</f>
        <v>54</v>
      </c>
      <c r="AR64" s="65">
        <f t="shared" si="74"/>
        <v>0</v>
      </c>
      <c r="AS64" s="118">
        <v>150</v>
      </c>
      <c r="AT64" s="62">
        <f t="shared" si="38"/>
        <v>300.60000000000002</v>
      </c>
      <c r="AU64" s="25">
        <f>+(0)+(0)+(0)+(78)</f>
        <v>78</v>
      </c>
      <c r="AV64" s="25">
        <f>+(120)+(0)+(0)+(0)+(0)+(0)+(0)+(0)</f>
        <v>120</v>
      </c>
      <c r="AW64" s="25">
        <v>150</v>
      </c>
      <c r="AX64" s="25">
        <f t="shared" si="76"/>
        <v>348.6</v>
      </c>
      <c r="AY64" s="151">
        <f t="shared" si="13"/>
        <v>0</v>
      </c>
      <c r="AZ64" s="151">
        <f>+(174)+(0)+(0)+(0)+(0)+(0)+(0)+(0)</f>
        <v>174</v>
      </c>
      <c r="BA64" s="207">
        <v>150</v>
      </c>
      <c r="BB64" s="207">
        <f t="shared" si="85"/>
        <v>372.6</v>
      </c>
      <c r="BC64" s="208">
        <f t="shared" si="22"/>
        <v>1446</v>
      </c>
    </row>
    <row r="65" spans="1:55" ht="25.8" thickBot="1" x14ac:dyDescent="0.65">
      <c r="A65" s="64">
        <v>57</v>
      </c>
      <c r="B65" s="175" t="s">
        <v>191</v>
      </c>
      <c r="C65" s="176" t="s">
        <v>15</v>
      </c>
      <c r="D65" s="183">
        <v>45733</v>
      </c>
      <c r="E65" s="177">
        <v>0</v>
      </c>
      <c r="F65" s="177">
        <f t="shared" si="16"/>
        <v>0</v>
      </c>
      <c r="G65" s="177">
        <f>+'BIENIOS DEPARTAMENTO DE SALUD'!BC65</f>
        <v>0</v>
      </c>
      <c r="H65" s="178">
        <f t="shared" ref="H65" si="132">+F65+G65</f>
        <v>0</v>
      </c>
      <c r="I65" s="179">
        <v>15</v>
      </c>
      <c r="J65" s="72">
        <v>15</v>
      </c>
      <c r="L65" s="180">
        <v>46463</v>
      </c>
      <c r="M65" s="181"/>
      <c r="N65" s="182" t="str">
        <f t="shared" ca="1" si="105"/>
        <v>O.K.</v>
      </c>
      <c r="W65" s="1" t="s">
        <v>191</v>
      </c>
      <c r="X65" s="31"/>
      <c r="Y65" s="31"/>
      <c r="Z65" s="32"/>
      <c r="AA65" s="32"/>
      <c r="AB65" s="32"/>
      <c r="AC65" s="25"/>
      <c r="AD65" s="22"/>
      <c r="AE65" s="43"/>
      <c r="AF65" s="43"/>
      <c r="AG65" s="32"/>
      <c r="AH65" s="12"/>
      <c r="AI65" s="43"/>
      <c r="AJ65" s="43"/>
      <c r="AK65" s="32"/>
      <c r="AL65" s="25"/>
      <c r="AM65" s="43"/>
      <c r="AN65" s="43"/>
      <c r="AO65" s="59"/>
      <c r="AP65" s="62"/>
      <c r="AQ65" s="65"/>
      <c r="AR65" s="65"/>
      <c r="AS65" s="118"/>
      <c r="AT65" s="62"/>
      <c r="AU65" s="25"/>
      <c r="AV65" s="25"/>
      <c r="AW65" s="25"/>
      <c r="AX65" s="25"/>
      <c r="AY65" s="151">
        <f t="shared" si="13"/>
        <v>0</v>
      </c>
      <c r="AZ65" s="151">
        <f t="shared" si="14"/>
        <v>0</v>
      </c>
      <c r="BA65" s="207">
        <v>0</v>
      </c>
      <c r="BB65" s="207">
        <f t="shared" si="85"/>
        <v>0</v>
      </c>
      <c r="BC65" s="208">
        <f t="shared" si="22"/>
        <v>0</v>
      </c>
    </row>
    <row r="66" spans="1:55" ht="25.8" thickBot="1" x14ac:dyDescent="0.65">
      <c r="A66" s="64">
        <v>58</v>
      </c>
      <c r="B66" s="126" t="s">
        <v>94</v>
      </c>
      <c r="C66" s="127" t="s">
        <v>15</v>
      </c>
      <c r="D66" s="128">
        <v>44593</v>
      </c>
      <c r="E66" s="130">
        <v>10</v>
      </c>
      <c r="F66" s="130">
        <f t="shared" si="16"/>
        <v>5333.3</v>
      </c>
      <c r="G66" s="130">
        <f>+'BIENIOS DEPARTAMENTO DE SALUD'!BC66</f>
        <v>2711</v>
      </c>
      <c r="H66" s="131">
        <f t="shared" si="17"/>
        <v>8044.3</v>
      </c>
      <c r="I66" s="132">
        <v>6</v>
      </c>
      <c r="J66" s="72">
        <v>6</v>
      </c>
      <c r="L66" s="136">
        <v>46320</v>
      </c>
      <c r="M66" s="124"/>
      <c r="N66" s="125" t="str">
        <f t="shared" ca="1" si="105"/>
        <v>O.K.</v>
      </c>
      <c r="W66" s="1" t="s">
        <v>95</v>
      </c>
      <c r="X66" s="61">
        <v>2432</v>
      </c>
      <c r="Y66" s="31"/>
      <c r="Z66" s="32"/>
      <c r="AA66" s="32"/>
      <c r="AB66" s="32"/>
      <c r="AC66" s="25">
        <v>0</v>
      </c>
      <c r="AD66" s="22">
        <f t="shared" si="18"/>
        <v>0</v>
      </c>
      <c r="AE66" s="43">
        <v>0</v>
      </c>
      <c r="AF66" s="43">
        <v>0</v>
      </c>
      <c r="AG66" s="32">
        <v>0</v>
      </c>
      <c r="AH66" s="12">
        <f t="shared" si="35"/>
        <v>0</v>
      </c>
      <c r="AI66" s="43">
        <f t="shared" si="86"/>
        <v>0</v>
      </c>
      <c r="AJ66" s="43">
        <f t="shared" si="86"/>
        <v>0</v>
      </c>
      <c r="AK66" s="32">
        <v>0</v>
      </c>
      <c r="AL66" s="25">
        <f t="shared" si="36"/>
        <v>0</v>
      </c>
      <c r="AM66" s="43">
        <f t="shared" si="20"/>
        <v>0</v>
      </c>
      <c r="AN66" s="43">
        <f t="shared" si="20"/>
        <v>0</v>
      </c>
      <c r="AO66" s="59">
        <v>0</v>
      </c>
      <c r="AP66" s="62">
        <f t="shared" si="37"/>
        <v>0</v>
      </c>
      <c r="AQ66" s="65">
        <f t="shared" si="74"/>
        <v>0</v>
      </c>
      <c r="AR66" s="65">
        <f>+(120)+(0)+(0)+(0)+(0)+(0)</f>
        <v>120</v>
      </c>
      <c r="AS66" s="118">
        <v>120</v>
      </c>
      <c r="AT66" s="62">
        <f t="shared" si="38"/>
        <v>0</v>
      </c>
      <c r="AU66" s="25">
        <f t="shared" si="41"/>
        <v>0</v>
      </c>
      <c r="AV66" s="25">
        <f>+(0)+(0)+(0)+(51)+(0)+(0)+(0)+(54)</f>
        <v>105</v>
      </c>
      <c r="AW66" s="51">
        <v>105</v>
      </c>
      <c r="AX66" s="51">
        <f t="shared" si="76"/>
        <v>0</v>
      </c>
      <c r="AY66" s="151">
        <f>+(0)+(0)+(0)+(54)</f>
        <v>54</v>
      </c>
      <c r="AZ66" s="151">
        <f t="shared" si="14"/>
        <v>0</v>
      </c>
      <c r="BA66" s="207">
        <v>54</v>
      </c>
      <c r="BB66" s="207">
        <f t="shared" si="85"/>
        <v>0</v>
      </c>
      <c r="BC66" s="208">
        <f t="shared" si="22"/>
        <v>2711</v>
      </c>
    </row>
    <row r="67" spans="1:55" ht="25.8" thickBot="1" x14ac:dyDescent="0.65">
      <c r="A67" s="64">
        <v>59</v>
      </c>
      <c r="B67" s="175" t="s">
        <v>199</v>
      </c>
      <c r="C67" s="176" t="s">
        <v>21</v>
      </c>
      <c r="D67" s="183">
        <v>45783</v>
      </c>
      <c r="E67" s="177">
        <v>0</v>
      </c>
      <c r="F67" s="177">
        <f t="shared" si="16"/>
        <v>0</v>
      </c>
      <c r="G67" s="177">
        <f>+'BIENIOS DEPARTAMENTO DE SALUD'!BC67</f>
        <v>0</v>
      </c>
      <c r="H67" s="178">
        <f t="shared" ref="H67" si="133">+F67+G67</f>
        <v>0</v>
      </c>
      <c r="I67" s="179">
        <v>15</v>
      </c>
      <c r="J67" s="72">
        <v>15</v>
      </c>
      <c r="L67" s="180">
        <v>46513</v>
      </c>
      <c r="M67" s="181"/>
      <c r="N67" s="182" t="str">
        <f t="shared" ca="1" si="105"/>
        <v>O.K.</v>
      </c>
      <c r="W67" s="1" t="s">
        <v>199</v>
      </c>
      <c r="X67" s="31"/>
      <c r="Y67" s="31"/>
      <c r="Z67" s="32"/>
      <c r="AA67" s="32"/>
      <c r="AB67" s="32"/>
      <c r="AC67" s="25"/>
      <c r="AD67" s="22"/>
      <c r="AE67" s="43"/>
      <c r="AF67" s="43"/>
      <c r="AG67" s="32"/>
      <c r="AH67" s="12"/>
      <c r="AI67" s="43"/>
      <c r="AJ67" s="43"/>
      <c r="AK67" s="32"/>
      <c r="AL67" s="25"/>
      <c r="AM67" s="43"/>
      <c r="AN67" s="43"/>
      <c r="AO67" s="59"/>
      <c r="AP67" s="62"/>
      <c r="AQ67" s="65"/>
      <c r="AR67" s="65"/>
      <c r="AS67" s="118"/>
      <c r="AT67" s="62"/>
      <c r="AU67" s="25"/>
      <c r="AV67" s="25"/>
      <c r="AW67" s="51"/>
      <c r="AX67" s="51"/>
      <c r="AY67" s="151">
        <f>+(0)+(0)+(0)+(0)</f>
        <v>0</v>
      </c>
      <c r="AZ67" s="151">
        <f t="shared" si="14"/>
        <v>0</v>
      </c>
      <c r="BA67" s="207">
        <v>0</v>
      </c>
      <c r="BB67" s="207">
        <f t="shared" ref="BB67" si="134">(AX67+AY67+AZ67)-BA67</f>
        <v>0</v>
      </c>
      <c r="BC67" s="208">
        <f t="shared" ref="BC67" si="135">SUM(X67:AA67)+AB67+AG67+AK67+AO67+AS67+AW67+BA67</f>
        <v>0</v>
      </c>
    </row>
    <row r="68" spans="1:55" ht="25.8" thickBot="1" x14ac:dyDescent="0.65">
      <c r="A68" s="64">
        <v>60</v>
      </c>
      <c r="B68" s="126" t="s">
        <v>113</v>
      </c>
      <c r="C68" s="127" t="s">
        <v>13</v>
      </c>
      <c r="D68" s="128">
        <v>43913</v>
      </c>
      <c r="E68" s="130">
        <v>2</v>
      </c>
      <c r="F68" s="130">
        <f t="shared" si="16"/>
        <v>1066.6600000000001</v>
      </c>
      <c r="G68" s="130">
        <f>+'BIENIOS DEPARTAMENTO DE SALUD'!BC68</f>
        <v>720</v>
      </c>
      <c r="H68" s="131">
        <f t="shared" si="17"/>
        <v>1786.66</v>
      </c>
      <c r="I68" s="132">
        <v>13</v>
      </c>
      <c r="J68" s="72">
        <v>13</v>
      </c>
      <c r="L68" s="136">
        <v>46104</v>
      </c>
      <c r="M68" s="124"/>
      <c r="N68" s="125" t="str">
        <f t="shared" ca="1" si="105"/>
        <v>O.K.</v>
      </c>
      <c r="W68" s="1" t="s">
        <v>72</v>
      </c>
      <c r="X68" s="31">
        <v>0</v>
      </c>
      <c r="Y68" s="31">
        <v>0</v>
      </c>
      <c r="Z68" s="32">
        <v>0</v>
      </c>
      <c r="AA68" s="32">
        <v>0</v>
      </c>
      <c r="AB68" s="32">
        <v>0</v>
      </c>
      <c r="AC68" s="25">
        <v>0</v>
      </c>
      <c r="AD68" s="22">
        <f t="shared" si="18"/>
        <v>0</v>
      </c>
      <c r="AE68" s="43">
        <v>0</v>
      </c>
      <c r="AF68" s="43">
        <f>+(0)+(0)+(0)+(0)+(0)+(162)</f>
        <v>162</v>
      </c>
      <c r="AG68" s="32">
        <v>120</v>
      </c>
      <c r="AH68" s="12">
        <f t="shared" si="35"/>
        <v>42</v>
      </c>
      <c r="AI68" s="43">
        <f t="shared" si="86"/>
        <v>0</v>
      </c>
      <c r="AJ68" s="43">
        <f>+(0)+(0)+(0)+(0)+(444)+(0)</f>
        <v>444</v>
      </c>
      <c r="AK68" s="32">
        <v>120</v>
      </c>
      <c r="AL68" s="25">
        <f t="shared" si="36"/>
        <v>366</v>
      </c>
      <c r="AM68" s="43">
        <f>+(0)+(0)+(0)+(108)+(0)+(0)</f>
        <v>108</v>
      </c>
      <c r="AN68" s="43">
        <f t="shared" si="20"/>
        <v>0</v>
      </c>
      <c r="AO68" s="59">
        <v>120</v>
      </c>
      <c r="AP68" s="62">
        <f t="shared" si="37"/>
        <v>354</v>
      </c>
      <c r="AQ68" s="65">
        <f>+(0)+(0)+(0)+(0)+(78)+(0)</f>
        <v>78</v>
      </c>
      <c r="AR68" s="65">
        <f>+(0)+(283.2)+(0)+(0)+(0)+(0)</f>
        <v>283.2</v>
      </c>
      <c r="AS68" s="118">
        <v>120</v>
      </c>
      <c r="AT68" s="62">
        <f t="shared" si="38"/>
        <v>595.20000000000005</v>
      </c>
      <c r="AU68" s="25">
        <f>+(0)+(177)+(120)+(78)</f>
        <v>375</v>
      </c>
      <c r="AV68" s="25">
        <f>+(0)+(30)+(0)+(0)+(0)+(0)+(0)+(30)</f>
        <v>60</v>
      </c>
      <c r="AW68" s="51">
        <v>120</v>
      </c>
      <c r="AX68" s="51">
        <f t="shared" si="76"/>
        <v>910.2</v>
      </c>
      <c r="AY68" s="151">
        <f>+(30)+(108)+(0)+(0)</f>
        <v>138</v>
      </c>
      <c r="AZ68" s="151">
        <f>+(30)+(30)+(0)+(0)+(30)+(97.2)+(0)+(0)</f>
        <v>187.2</v>
      </c>
      <c r="BA68" s="207">
        <v>120</v>
      </c>
      <c r="BB68" s="207">
        <f t="shared" si="85"/>
        <v>1115.4000000000001</v>
      </c>
      <c r="BC68" s="208">
        <f t="shared" si="22"/>
        <v>720</v>
      </c>
    </row>
    <row r="69" spans="1:55" ht="25.8" thickBot="1" x14ac:dyDescent="0.65">
      <c r="A69" s="64">
        <v>61</v>
      </c>
      <c r="B69" s="126" t="s">
        <v>185</v>
      </c>
      <c r="C69" s="127" t="s">
        <v>15</v>
      </c>
      <c r="D69" s="128">
        <v>44652</v>
      </c>
      <c r="E69" s="130">
        <v>1</v>
      </c>
      <c r="F69" s="130">
        <f t="shared" si="16"/>
        <v>533.33000000000004</v>
      </c>
      <c r="G69" s="130">
        <f>+'BIENIOS DEPARTAMENTO DE SALUD'!BC69</f>
        <v>834</v>
      </c>
      <c r="H69" s="131">
        <f t="shared" si="17"/>
        <v>1367.33</v>
      </c>
      <c r="I69" s="132">
        <v>14</v>
      </c>
      <c r="J69" s="72">
        <v>14</v>
      </c>
      <c r="L69" s="138">
        <v>46113</v>
      </c>
      <c r="M69" s="139"/>
      <c r="N69" s="125" t="str">
        <f t="shared" ca="1" si="105"/>
        <v>O.K.</v>
      </c>
      <c r="W69" s="1" t="s">
        <v>185</v>
      </c>
      <c r="X69" s="61">
        <v>258</v>
      </c>
      <c r="Y69" s="31">
        <v>0</v>
      </c>
      <c r="Z69" s="32">
        <v>0</v>
      </c>
      <c r="AA69" s="32">
        <v>0</v>
      </c>
      <c r="AB69" s="32">
        <v>0</v>
      </c>
      <c r="AC69" s="25">
        <v>0</v>
      </c>
      <c r="AD69" s="22">
        <f t="shared" si="18"/>
        <v>0</v>
      </c>
      <c r="AE69" s="43">
        <v>0</v>
      </c>
      <c r="AF69" s="43">
        <v>0</v>
      </c>
      <c r="AG69" s="32">
        <v>0</v>
      </c>
      <c r="AH69" s="12">
        <f t="shared" si="35"/>
        <v>0</v>
      </c>
      <c r="AI69" s="43">
        <v>0</v>
      </c>
      <c r="AJ69" s="43">
        <v>0</v>
      </c>
      <c r="AK69" s="32">
        <v>0</v>
      </c>
      <c r="AL69" s="25">
        <f t="shared" si="36"/>
        <v>0</v>
      </c>
      <c r="AM69" s="43">
        <f>+(0)+(0)+(0)+(0)+(0)+(30)</f>
        <v>30</v>
      </c>
      <c r="AN69" s="43">
        <f>+(0)+(0)+(0)+(0)+(0)+(96)</f>
        <v>96</v>
      </c>
      <c r="AO69" s="59">
        <v>126</v>
      </c>
      <c r="AP69" s="62">
        <f t="shared" si="37"/>
        <v>0</v>
      </c>
      <c r="AQ69" s="65">
        <f>+(0)+(0)+(30)+(31.5)+(54)+(0)</f>
        <v>115.5</v>
      </c>
      <c r="AR69" s="65">
        <f>+(0)+(96)+(0)+(0)+(0)+(0)</f>
        <v>96</v>
      </c>
      <c r="AS69" s="118">
        <v>150</v>
      </c>
      <c r="AT69" s="62">
        <f t="shared" si="38"/>
        <v>61.5</v>
      </c>
      <c r="AU69" s="65">
        <f>+(0)+(0)+(0)+(96)</f>
        <v>96</v>
      </c>
      <c r="AV69" s="191">
        <f t="shared" ref="AV69" si="136">+(0)+(0)+(0)+(0)+(0)+(0)+(0)+(0)</f>
        <v>0</v>
      </c>
      <c r="AW69" s="192">
        <v>150</v>
      </c>
      <c r="AX69" s="192">
        <f t="shared" ref="AX69" si="137">(+AT69+AU69+AV69)-AW69</f>
        <v>7.5</v>
      </c>
      <c r="AY69" s="151">
        <f t="shared" ref="AY69:AY70" si="138">+(0)+(0)+(0)+(0)</f>
        <v>0</v>
      </c>
      <c r="AZ69" s="151">
        <f>+(0)+(0)+(0)+(0)+(0)+(204)+(0)+(0)</f>
        <v>204</v>
      </c>
      <c r="BA69" s="207">
        <v>150</v>
      </c>
      <c r="BB69" s="207">
        <f t="shared" si="85"/>
        <v>61.5</v>
      </c>
      <c r="BC69" s="210">
        <f t="shared" si="22"/>
        <v>834</v>
      </c>
    </row>
    <row r="70" spans="1:55" ht="25.8" thickBot="1" x14ac:dyDescent="0.65">
      <c r="A70" s="64">
        <v>62</v>
      </c>
      <c r="B70" s="175" t="s">
        <v>192</v>
      </c>
      <c r="C70" s="176" t="s">
        <v>15</v>
      </c>
      <c r="D70" s="183">
        <v>44197</v>
      </c>
      <c r="E70" s="187">
        <v>5</v>
      </c>
      <c r="F70" s="177">
        <f>+E70*$C$1</f>
        <v>2666.65</v>
      </c>
      <c r="G70" s="177">
        <f>+BC70</f>
        <v>1014</v>
      </c>
      <c r="H70" s="178">
        <f>+F70+G70</f>
        <v>3680.65</v>
      </c>
      <c r="I70" s="179">
        <v>11</v>
      </c>
      <c r="J70" s="202">
        <v>11</v>
      </c>
      <c r="L70" s="180">
        <v>46553</v>
      </c>
      <c r="M70" s="181"/>
      <c r="N70" s="182" t="str">
        <f t="shared" ca="1" si="105"/>
        <v>O.K.</v>
      </c>
      <c r="W70" s="1" t="s">
        <v>192</v>
      </c>
      <c r="X70" s="66">
        <v>564</v>
      </c>
      <c r="Y70" s="31">
        <v>0</v>
      </c>
      <c r="Z70" s="32">
        <v>0</v>
      </c>
      <c r="AA70" s="32">
        <v>0</v>
      </c>
      <c r="AB70" s="32">
        <v>0</v>
      </c>
      <c r="AC70" s="25"/>
      <c r="AD70" s="22"/>
      <c r="AE70" s="43">
        <f t="shared" ref="AE70:AF70" si="139">+(0)+(0)+(0)+(0)+(0)+(0)</f>
        <v>0</v>
      </c>
      <c r="AF70" s="43">
        <f t="shared" si="139"/>
        <v>0</v>
      </c>
      <c r="AG70" s="32">
        <v>0</v>
      </c>
      <c r="AH70" s="12">
        <f t="shared" si="35"/>
        <v>0</v>
      </c>
      <c r="AI70" s="43">
        <f t="shared" ref="AI70:AJ70" si="140">+(0)+(0)+(0)+(0)+(0)+(0)</f>
        <v>0</v>
      </c>
      <c r="AJ70" s="43">
        <f t="shared" si="140"/>
        <v>0</v>
      </c>
      <c r="AK70" s="32">
        <v>0</v>
      </c>
      <c r="AL70" s="55">
        <f t="shared" si="36"/>
        <v>0</v>
      </c>
      <c r="AM70" s="43">
        <f t="shared" ref="AM70:AN70" si="141">+(0)+(0)+(0)+(0)+(0)+(0)</f>
        <v>0</v>
      </c>
      <c r="AN70" s="43">
        <f t="shared" si="141"/>
        <v>0</v>
      </c>
      <c r="AO70" s="134">
        <v>0</v>
      </c>
      <c r="AP70" s="118">
        <f t="shared" si="37"/>
        <v>0</v>
      </c>
      <c r="AQ70" s="65">
        <f>+(0)+(0)+(84)+(0)+(204)+(120)</f>
        <v>408</v>
      </c>
      <c r="AR70" s="65">
        <f>+(0)+(84)+(0)+(0)+(0)+(0)</f>
        <v>84</v>
      </c>
      <c r="AS70" s="118">
        <v>150</v>
      </c>
      <c r="AT70" s="118">
        <f>+AP70+AQ70+AR70-AS70</f>
        <v>342</v>
      </c>
      <c r="AU70" s="117">
        <f>+(0)+(0)+(108)+(324)</f>
        <v>432</v>
      </c>
      <c r="AV70" s="117">
        <f>+(0)+(0)+(0)+(0)+(120)+(54)+(0)+(160.2)</f>
        <v>334.2</v>
      </c>
      <c r="AW70" s="118">
        <v>150</v>
      </c>
      <c r="AX70" s="118">
        <f t="shared" ref="AX70" si="142">+AT70+AU70+AV70-AW70</f>
        <v>958.2</v>
      </c>
      <c r="AY70" s="151">
        <f t="shared" si="138"/>
        <v>0</v>
      </c>
      <c r="AZ70" s="151">
        <f t="shared" ref="AZ70" si="143">+(0)+(0)+(0)+(0)+(0)+(0)+(0)+(0)</f>
        <v>0</v>
      </c>
      <c r="BA70" s="207">
        <v>150</v>
      </c>
      <c r="BB70" s="207">
        <f t="shared" si="85"/>
        <v>808.2</v>
      </c>
      <c r="BC70" s="209">
        <f t="shared" si="22"/>
        <v>1014</v>
      </c>
    </row>
    <row r="71" spans="1:55" ht="25.8" thickBot="1" x14ac:dyDescent="0.65">
      <c r="A71" s="64">
        <v>63</v>
      </c>
      <c r="B71" s="126" t="s">
        <v>105</v>
      </c>
      <c r="C71" s="127" t="s">
        <v>15</v>
      </c>
      <c r="D71" s="128">
        <v>44627</v>
      </c>
      <c r="E71" s="130">
        <v>7</v>
      </c>
      <c r="F71" s="130">
        <f t="shared" si="16"/>
        <v>3733.3100000000004</v>
      </c>
      <c r="G71" s="130">
        <f>+'BIENIOS DEPARTAMENTO DE SALUD'!BC71</f>
        <v>4160</v>
      </c>
      <c r="H71" s="131">
        <f t="shared" si="17"/>
        <v>7893.31</v>
      </c>
      <c r="I71" s="132">
        <v>6</v>
      </c>
      <c r="J71" s="72">
        <v>6</v>
      </c>
      <c r="L71" s="136">
        <v>46108</v>
      </c>
      <c r="M71" s="124"/>
      <c r="N71" s="125" t="str">
        <f t="shared" ca="1" si="105"/>
        <v>O.K.</v>
      </c>
      <c r="W71" s="1" t="s">
        <v>105</v>
      </c>
      <c r="X71" s="61">
        <v>3614</v>
      </c>
      <c r="Y71" s="31">
        <v>0</v>
      </c>
      <c r="Z71" s="32">
        <v>0</v>
      </c>
      <c r="AA71" s="32">
        <v>0</v>
      </c>
      <c r="AB71" s="32">
        <v>0</v>
      </c>
      <c r="AC71" s="25">
        <v>0</v>
      </c>
      <c r="AD71" s="22">
        <f t="shared" si="18"/>
        <v>0</v>
      </c>
      <c r="AE71" s="43">
        <v>0</v>
      </c>
      <c r="AF71" s="43">
        <v>0</v>
      </c>
      <c r="AG71" s="32">
        <v>0</v>
      </c>
      <c r="AH71" s="12">
        <f t="shared" si="35"/>
        <v>0</v>
      </c>
      <c r="AI71" s="43">
        <f t="shared" si="86"/>
        <v>0</v>
      </c>
      <c r="AJ71" s="43">
        <f t="shared" si="86"/>
        <v>0</v>
      </c>
      <c r="AK71" s="32">
        <v>0</v>
      </c>
      <c r="AL71" s="25">
        <f t="shared" si="36"/>
        <v>0</v>
      </c>
      <c r="AM71" s="43">
        <f>+(0)+(0)+(96)+(0)+(0)+(0)</f>
        <v>96</v>
      </c>
      <c r="AN71" s="43">
        <f t="shared" si="20"/>
        <v>0</v>
      </c>
      <c r="AO71" s="59">
        <v>96</v>
      </c>
      <c r="AP71" s="62">
        <f t="shared" si="37"/>
        <v>0</v>
      </c>
      <c r="AQ71" s="65">
        <f>+(204)+(0)+(0)+(0)+(54)+(0)</f>
        <v>258</v>
      </c>
      <c r="AR71" s="65">
        <f>+(120)+(0)+(0)+(0)+(0)+(0)</f>
        <v>120</v>
      </c>
      <c r="AS71" s="118">
        <v>150</v>
      </c>
      <c r="AT71" s="62">
        <f t="shared" si="38"/>
        <v>228</v>
      </c>
      <c r="AU71" s="25">
        <f>+(0)+(30)+(0)+(0)</f>
        <v>30</v>
      </c>
      <c r="AV71" s="25">
        <f>+(0)+(0)+(96)+(0)+(0)+(0)+(60)+(0)</f>
        <v>156</v>
      </c>
      <c r="AW71" s="25">
        <v>150</v>
      </c>
      <c r="AX71" s="25">
        <f t="shared" si="76"/>
        <v>264</v>
      </c>
      <c r="AY71" s="151">
        <f>+(0)+(0)+(0)+(120)</f>
        <v>120</v>
      </c>
      <c r="AZ71" s="151">
        <f>+(0)+(120)+(0)+(0)+(0)+(120)+(0)+(0)</f>
        <v>240</v>
      </c>
      <c r="BA71" s="207">
        <v>150</v>
      </c>
      <c r="BB71" s="207">
        <f t="shared" si="85"/>
        <v>474</v>
      </c>
      <c r="BC71" s="208">
        <f t="shared" si="22"/>
        <v>4160</v>
      </c>
    </row>
    <row r="72" spans="1:55" ht="25.8" thickBot="1" x14ac:dyDescent="0.65">
      <c r="A72" s="64">
        <v>64</v>
      </c>
      <c r="B72" s="126" t="s">
        <v>101</v>
      </c>
      <c r="C72" s="127" t="s">
        <v>21</v>
      </c>
      <c r="D72" s="128">
        <v>44562</v>
      </c>
      <c r="E72" s="130">
        <v>1</v>
      </c>
      <c r="F72" s="130">
        <f t="shared" si="16"/>
        <v>533.33000000000004</v>
      </c>
      <c r="G72" s="130">
        <f>+'BIENIOS DEPARTAMENTO DE SALUD'!BC72</f>
        <v>0</v>
      </c>
      <c r="H72" s="131">
        <f t="shared" si="17"/>
        <v>533.33000000000004</v>
      </c>
      <c r="I72" s="132">
        <v>15</v>
      </c>
      <c r="J72" s="72">
        <v>15</v>
      </c>
      <c r="L72" s="136">
        <v>46023</v>
      </c>
      <c r="M72" s="124"/>
      <c r="N72" s="125" t="str">
        <f t="shared" ca="1" si="105"/>
        <v>O.K.</v>
      </c>
      <c r="W72" s="1" t="s">
        <v>102</v>
      </c>
      <c r="X72" s="31">
        <v>0</v>
      </c>
      <c r="Y72" s="31">
        <v>0</v>
      </c>
      <c r="Z72" s="32">
        <v>0</v>
      </c>
      <c r="AA72" s="32">
        <v>0</v>
      </c>
      <c r="AB72" s="32">
        <v>0</v>
      </c>
      <c r="AC72" s="25">
        <v>0</v>
      </c>
      <c r="AD72" s="22">
        <f t="shared" si="18"/>
        <v>0</v>
      </c>
      <c r="AE72" s="43">
        <v>0</v>
      </c>
      <c r="AF72" s="43">
        <v>0</v>
      </c>
      <c r="AG72" s="32">
        <v>0</v>
      </c>
      <c r="AH72" s="12">
        <f t="shared" si="35"/>
        <v>0</v>
      </c>
      <c r="AI72" s="43">
        <v>0</v>
      </c>
      <c r="AJ72" s="43">
        <v>0</v>
      </c>
      <c r="AK72" s="32">
        <v>0</v>
      </c>
      <c r="AL72" s="25">
        <f t="shared" si="36"/>
        <v>0</v>
      </c>
      <c r="AM72" s="43">
        <f t="shared" si="20"/>
        <v>0</v>
      </c>
      <c r="AN72" s="43">
        <f t="shared" si="20"/>
        <v>0</v>
      </c>
      <c r="AO72" s="59">
        <v>0</v>
      </c>
      <c r="AP72" s="62">
        <f t="shared" si="37"/>
        <v>0</v>
      </c>
      <c r="AQ72" s="65">
        <f t="shared" si="74"/>
        <v>0</v>
      </c>
      <c r="AR72" s="65">
        <f t="shared" si="74"/>
        <v>0</v>
      </c>
      <c r="AS72" s="118">
        <v>0</v>
      </c>
      <c r="AT72" s="62">
        <f t="shared" si="38"/>
        <v>0</v>
      </c>
      <c r="AU72" s="25">
        <f t="shared" si="41"/>
        <v>0</v>
      </c>
      <c r="AV72" s="25">
        <f t="shared" si="48"/>
        <v>0</v>
      </c>
      <c r="AW72" s="25">
        <v>0</v>
      </c>
      <c r="AX72" s="25">
        <f t="shared" si="76"/>
        <v>0</v>
      </c>
      <c r="AY72" s="151">
        <f t="shared" si="13"/>
        <v>0</v>
      </c>
      <c r="AZ72" s="151">
        <f t="shared" si="14"/>
        <v>0</v>
      </c>
      <c r="BA72" s="207">
        <v>0</v>
      </c>
      <c r="BB72" s="207">
        <f t="shared" si="85"/>
        <v>0</v>
      </c>
      <c r="BC72" s="208">
        <f t="shared" si="22"/>
        <v>0</v>
      </c>
    </row>
    <row r="73" spans="1:55" ht="25.8" thickBot="1" x14ac:dyDescent="0.65">
      <c r="A73" s="64">
        <v>65</v>
      </c>
      <c r="B73" s="175" t="s">
        <v>201</v>
      </c>
      <c r="C73" s="176" t="s">
        <v>18</v>
      </c>
      <c r="D73" s="183">
        <v>45811</v>
      </c>
      <c r="E73" s="177">
        <v>0</v>
      </c>
      <c r="F73" s="177">
        <f t="shared" si="16"/>
        <v>0</v>
      </c>
      <c r="G73" s="177">
        <f>+'BIENIOS DEPARTAMENTO DE SALUD'!BC73</f>
        <v>0</v>
      </c>
      <c r="H73" s="178">
        <f t="shared" ref="H73" si="144">+F73+G73</f>
        <v>0</v>
      </c>
      <c r="I73" s="179">
        <v>15</v>
      </c>
      <c r="J73" s="72">
        <v>15</v>
      </c>
      <c r="L73" s="180">
        <v>46541</v>
      </c>
      <c r="M73" s="181"/>
      <c r="N73" s="182" t="str">
        <f t="shared" ca="1" si="105"/>
        <v>O.K.</v>
      </c>
      <c r="W73" s="1" t="s">
        <v>201</v>
      </c>
      <c r="X73" s="31"/>
      <c r="Y73" s="31"/>
      <c r="Z73" s="32"/>
      <c r="AA73" s="32"/>
      <c r="AB73" s="32"/>
      <c r="AC73" s="25"/>
      <c r="AD73" s="22"/>
      <c r="AE73" s="43"/>
      <c r="AF73" s="43"/>
      <c r="AG73" s="32"/>
      <c r="AH73" s="12"/>
      <c r="AI73" s="43"/>
      <c r="AJ73" s="43"/>
      <c r="AK73" s="32"/>
      <c r="AL73" s="25"/>
      <c r="AM73" s="43"/>
      <c r="AN73" s="43"/>
      <c r="AO73" s="59"/>
      <c r="AP73" s="62"/>
      <c r="AQ73" s="65"/>
      <c r="AR73" s="65"/>
      <c r="AS73" s="118"/>
      <c r="AT73" s="62"/>
      <c r="AU73" s="25"/>
      <c r="AV73" s="25"/>
      <c r="AW73" s="25"/>
      <c r="AX73" s="25"/>
      <c r="AY73" s="151">
        <f t="shared" si="13"/>
        <v>0</v>
      </c>
      <c r="AZ73" s="151">
        <f t="shared" si="14"/>
        <v>0</v>
      </c>
      <c r="BA73" s="207">
        <v>0</v>
      </c>
      <c r="BB73" s="207">
        <f t="shared" ref="BB73" si="145">(AX73+AY73+AZ73)-BA73</f>
        <v>0</v>
      </c>
      <c r="BC73" s="208">
        <f t="shared" ref="BC73" si="146">SUM(X73:AA73)+AB73+AG73+AK73+AO73+AS73+AW73+BA73</f>
        <v>0</v>
      </c>
    </row>
    <row r="74" spans="1:55" ht="25.8" thickBot="1" x14ac:dyDescent="0.65">
      <c r="A74" s="64">
        <v>66</v>
      </c>
      <c r="B74" s="175" t="s">
        <v>128</v>
      </c>
      <c r="C74" s="176" t="s">
        <v>15</v>
      </c>
      <c r="D74" s="183">
        <v>44988</v>
      </c>
      <c r="E74" s="177">
        <v>1</v>
      </c>
      <c r="F74" s="177">
        <f t="shared" si="16"/>
        <v>533.33000000000004</v>
      </c>
      <c r="G74" s="177">
        <f>+'BIENIOS DEPARTAMENTO DE SALUD'!BC74</f>
        <v>558</v>
      </c>
      <c r="H74" s="178">
        <f t="shared" ref="H74" si="147">+F74+G74</f>
        <v>1091.33</v>
      </c>
      <c r="I74" s="179">
        <v>14</v>
      </c>
      <c r="J74" s="72">
        <v>14</v>
      </c>
      <c r="L74" s="180">
        <v>46449</v>
      </c>
      <c r="M74" s="181"/>
      <c r="N74" s="182" t="str">
        <f t="shared" ca="1" si="105"/>
        <v>O.K.</v>
      </c>
      <c r="W74" s="1" t="s">
        <v>128</v>
      </c>
      <c r="X74" s="61">
        <v>258</v>
      </c>
      <c r="Y74" s="31">
        <v>0</v>
      </c>
      <c r="Z74" s="32">
        <v>0</v>
      </c>
      <c r="AA74" s="32">
        <v>0</v>
      </c>
      <c r="AB74" s="32">
        <v>0</v>
      </c>
      <c r="AC74" s="25">
        <v>0</v>
      </c>
      <c r="AD74" s="22">
        <f t="shared" si="18"/>
        <v>0</v>
      </c>
      <c r="AE74" s="43">
        <v>0</v>
      </c>
      <c r="AF74" s="43">
        <v>0</v>
      </c>
      <c r="AG74" s="32">
        <v>0</v>
      </c>
      <c r="AH74" s="12">
        <f t="shared" si="35"/>
        <v>0</v>
      </c>
      <c r="AI74" s="43">
        <v>0</v>
      </c>
      <c r="AJ74" s="43">
        <v>0</v>
      </c>
      <c r="AK74" s="32">
        <v>0</v>
      </c>
      <c r="AL74" s="55">
        <f t="shared" si="36"/>
        <v>0</v>
      </c>
      <c r="AM74" s="43">
        <v>0</v>
      </c>
      <c r="AN74" s="43">
        <v>0</v>
      </c>
      <c r="AO74" s="59">
        <v>0</v>
      </c>
      <c r="AP74" s="62">
        <f t="shared" si="37"/>
        <v>0</v>
      </c>
      <c r="AQ74" s="65">
        <f t="shared" si="74"/>
        <v>0</v>
      </c>
      <c r="AR74" s="65">
        <f t="shared" si="74"/>
        <v>0</v>
      </c>
      <c r="AS74" s="118">
        <v>0</v>
      </c>
      <c r="AT74" s="62">
        <f t="shared" si="38"/>
        <v>0</v>
      </c>
      <c r="AU74" s="25">
        <f>+(120)+(0)+(0)+(156)</f>
        <v>276</v>
      </c>
      <c r="AV74" s="25">
        <f t="shared" si="48"/>
        <v>0</v>
      </c>
      <c r="AW74" s="25">
        <v>150</v>
      </c>
      <c r="AX74" s="25">
        <f t="shared" si="76"/>
        <v>126</v>
      </c>
      <c r="AY74" s="151">
        <f>+(0)+(0)+(30)+(78)</f>
        <v>108</v>
      </c>
      <c r="AZ74" s="151">
        <f t="shared" si="14"/>
        <v>0</v>
      </c>
      <c r="BA74" s="207">
        <v>150</v>
      </c>
      <c r="BB74" s="207">
        <f t="shared" si="85"/>
        <v>84</v>
      </c>
      <c r="BC74" s="208">
        <f t="shared" si="22"/>
        <v>558</v>
      </c>
    </row>
    <row r="75" spans="1:55" ht="25.8" thickBot="1" x14ac:dyDescent="0.65">
      <c r="A75" s="64">
        <v>67</v>
      </c>
      <c r="B75" s="126" t="s">
        <v>175</v>
      </c>
      <c r="C75" s="127" t="s">
        <v>15</v>
      </c>
      <c r="D75" s="128">
        <v>45456</v>
      </c>
      <c r="E75" s="130">
        <v>1</v>
      </c>
      <c r="F75" s="130">
        <f t="shared" ref="F75" si="148">+E75*$C$1</f>
        <v>533.33000000000004</v>
      </c>
      <c r="G75" s="130">
        <f>+'BIENIOS DEPARTAMENTO DE SALUD'!BC75</f>
        <v>510</v>
      </c>
      <c r="H75" s="131">
        <f t="shared" ref="H75" si="149">+F75+G75</f>
        <v>1043.33</v>
      </c>
      <c r="I75" s="132">
        <v>14</v>
      </c>
      <c r="J75" s="72">
        <v>14</v>
      </c>
      <c r="L75" s="136">
        <v>46195</v>
      </c>
      <c r="M75" s="124"/>
      <c r="N75" s="125" t="str">
        <f t="shared" ca="1" si="105"/>
        <v>O.K.</v>
      </c>
      <c r="W75" s="1" t="s">
        <v>175</v>
      </c>
      <c r="X75" s="61">
        <v>360</v>
      </c>
      <c r="Y75" s="31"/>
      <c r="Z75" s="32"/>
      <c r="AA75" s="32"/>
      <c r="AB75" s="32"/>
      <c r="AC75" s="25"/>
      <c r="AD75" s="22"/>
      <c r="AE75" s="43"/>
      <c r="AF75" s="43"/>
      <c r="AG75" s="32"/>
      <c r="AH75" s="12"/>
      <c r="AI75" s="43"/>
      <c r="AJ75" s="43"/>
      <c r="AK75" s="32"/>
      <c r="AL75" s="55"/>
      <c r="AM75" s="43"/>
      <c r="AN75" s="43"/>
      <c r="AO75" s="59"/>
      <c r="AP75" s="62"/>
      <c r="AQ75" s="65"/>
      <c r="AR75" s="65"/>
      <c r="AS75" s="118"/>
      <c r="AT75" s="62"/>
      <c r="AU75" s="25"/>
      <c r="AV75" s="25"/>
      <c r="AW75" s="25"/>
      <c r="AX75" s="25"/>
      <c r="AY75" s="151">
        <f t="shared" si="13"/>
        <v>0</v>
      </c>
      <c r="AZ75" s="151">
        <f>+(30)+(0)+(78)+(0)+(60)+(0)+(0)+(0)</f>
        <v>168</v>
      </c>
      <c r="BA75" s="207">
        <v>150</v>
      </c>
      <c r="BB75" s="207">
        <f t="shared" ref="BB75" si="150">(AX75+AY75+AZ75)-BA75</f>
        <v>18</v>
      </c>
      <c r="BC75" s="208">
        <f t="shared" si="22"/>
        <v>510</v>
      </c>
    </row>
    <row r="76" spans="1:55" ht="25.8" thickBot="1" x14ac:dyDescent="0.65">
      <c r="A76" s="64">
        <v>68</v>
      </c>
      <c r="B76" s="126" t="s">
        <v>33</v>
      </c>
      <c r="C76" s="127" t="s">
        <v>18</v>
      </c>
      <c r="D76" s="128">
        <v>39581</v>
      </c>
      <c r="E76" s="130">
        <v>8</v>
      </c>
      <c r="F76" s="130">
        <f t="shared" si="16"/>
        <v>4266.6400000000003</v>
      </c>
      <c r="G76" s="130">
        <f t="shared" ref="G76:G90" si="151">+BC76</f>
        <v>2100</v>
      </c>
      <c r="H76" s="131">
        <f t="shared" si="17"/>
        <v>6366.64</v>
      </c>
      <c r="I76" s="132">
        <v>8</v>
      </c>
      <c r="J76" s="72">
        <v>8</v>
      </c>
      <c r="L76" s="133">
        <v>46155</v>
      </c>
      <c r="M76" s="124"/>
      <c r="N76" s="125" t="str">
        <f t="shared" ca="1" si="105"/>
        <v>O.K.</v>
      </c>
      <c r="W76" s="1" t="s">
        <v>33</v>
      </c>
      <c r="X76" s="31">
        <v>846</v>
      </c>
      <c r="Y76" s="31">
        <v>150</v>
      </c>
      <c r="Z76" s="32">
        <v>96</v>
      </c>
      <c r="AA76" s="32">
        <v>108</v>
      </c>
      <c r="AB76" s="32">
        <v>0</v>
      </c>
      <c r="AC76" s="25">
        <v>0</v>
      </c>
      <c r="AD76" s="22">
        <f t="shared" si="18"/>
        <v>0</v>
      </c>
      <c r="AE76" s="43">
        <f>108+120</f>
        <v>228</v>
      </c>
      <c r="AF76" s="43">
        <f>+(54)+(0)+(0)+(0)+(0)+(162)</f>
        <v>216</v>
      </c>
      <c r="AG76" s="32">
        <v>150</v>
      </c>
      <c r="AH76" s="12">
        <f t="shared" si="35"/>
        <v>294</v>
      </c>
      <c r="AI76" s="43">
        <f t="shared" si="86"/>
        <v>0</v>
      </c>
      <c r="AJ76" s="43">
        <f>+(0)+(0)+(108)+(0)+(0)+(0)</f>
        <v>108</v>
      </c>
      <c r="AK76" s="32">
        <v>150</v>
      </c>
      <c r="AL76" s="25">
        <f t="shared" si="36"/>
        <v>252</v>
      </c>
      <c r="AM76" s="43">
        <f>+(0)+(216)+(0)+(0)+(0)+(0)</f>
        <v>216</v>
      </c>
      <c r="AN76" s="43">
        <f>+(0)+(0)+(0)+(0)+(96)+(0)</f>
        <v>96</v>
      </c>
      <c r="AO76" s="59">
        <v>150</v>
      </c>
      <c r="AP76" s="62">
        <f t="shared" si="37"/>
        <v>414</v>
      </c>
      <c r="AQ76" s="65">
        <f>+(108)+(0)+(0)+(0)+(132)+(0)</f>
        <v>240</v>
      </c>
      <c r="AR76" s="65">
        <f t="shared" si="74"/>
        <v>0</v>
      </c>
      <c r="AS76" s="118">
        <v>150</v>
      </c>
      <c r="AT76" s="62">
        <f t="shared" si="38"/>
        <v>504</v>
      </c>
      <c r="AU76" s="25">
        <f>+(0)+(0)+(0)+(120)</f>
        <v>120</v>
      </c>
      <c r="AV76" s="25">
        <f t="shared" si="48"/>
        <v>0</v>
      </c>
      <c r="AW76" s="25">
        <v>150</v>
      </c>
      <c r="AX76" s="25">
        <f t="shared" si="76"/>
        <v>474</v>
      </c>
      <c r="AY76" s="151">
        <f>+(0)+(78)+(0)+(0)</f>
        <v>78</v>
      </c>
      <c r="AZ76" s="151">
        <f>+(0)+(30)+(0)+(0)+(0)+(0)+(0)+(0)</f>
        <v>30</v>
      </c>
      <c r="BA76" s="207">
        <v>150</v>
      </c>
      <c r="BB76" s="207">
        <f t="shared" si="85"/>
        <v>432</v>
      </c>
      <c r="BC76" s="208">
        <f t="shared" si="22"/>
        <v>2100</v>
      </c>
    </row>
    <row r="77" spans="1:55" ht="25.8" thickBot="1" x14ac:dyDescent="0.65">
      <c r="A77" s="64">
        <v>69</v>
      </c>
      <c r="B77" s="73" t="s">
        <v>34</v>
      </c>
      <c r="C77" s="74" t="s">
        <v>15</v>
      </c>
      <c r="D77" s="83">
        <v>41122</v>
      </c>
      <c r="E77" s="76">
        <v>6</v>
      </c>
      <c r="F77" s="76">
        <f t="shared" si="16"/>
        <v>3199.9800000000005</v>
      </c>
      <c r="G77" s="76">
        <f t="shared" si="151"/>
        <v>1917</v>
      </c>
      <c r="H77" s="77">
        <f t="shared" si="17"/>
        <v>5116.9800000000005</v>
      </c>
      <c r="I77" s="78">
        <v>9</v>
      </c>
      <c r="J77" s="72">
        <v>9</v>
      </c>
      <c r="L77" s="79">
        <v>45926</v>
      </c>
      <c r="M77" s="80"/>
      <c r="N77" s="81" t="str">
        <f t="shared" ca="1" si="105"/>
        <v>O.K.</v>
      </c>
      <c r="W77" s="1" t="s">
        <v>34</v>
      </c>
      <c r="X77" s="31">
        <v>525</v>
      </c>
      <c r="Y77" s="31">
        <v>150</v>
      </c>
      <c r="Z77" s="32">
        <v>96</v>
      </c>
      <c r="AA77" s="32">
        <v>96</v>
      </c>
      <c r="AB77" s="32">
        <v>150</v>
      </c>
      <c r="AC77" s="25">
        <v>174</v>
      </c>
      <c r="AD77" s="22">
        <f t="shared" si="18"/>
        <v>24</v>
      </c>
      <c r="AE77" s="43">
        <v>0</v>
      </c>
      <c r="AF77" s="43">
        <f>+(0)+(0)+(186.6)+(0)+(54)+(54)</f>
        <v>294.60000000000002</v>
      </c>
      <c r="AG77" s="32">
        <v>150</v>
      </c>
      <c r="AH77" s="12">
        <f t="shared" si="35"/>
        <v>168.60000000000002</v>
      </c>
      <c r="AI77" s="43">
        <f t="shared" si="86"/>
        <v>0</v>
      </c>
      <c r="AJ77" s="43">
        <f>+(78)+(0)+(0)+(0)+(78)+(0)</f>
        <v>156</v>
      </c>
      <c r="AK77" s="32">
        <v>150</v>
      </c>
      <c r="AL77" s="25">
        <f t="shared" si="36"/>
        <v>174.60000000000002</v>
      </c>
      <c r="AM77" s="43">
        <f t="shared" si="20"/>
        <v>0</v>
      </c>
      <c r="AN77" s="43">
        <f>+(0)+(0)+(0)+(0)+(0)+(96)</f>
        <v>96</v>
      </c>
      <c r="AO77" s="59">
        <v>150</v>
      </c>
      <c r="AP77" s="62">
        <f t="shared" si="37"/>
        <v>120.60000000000002</v>
      </c>
      <c r="AQ77" s="65">
        <f t="shared" si="74"/>
        <v>0</v>
      </c>
      <c r="AR77" s="65">
        <f>+(0)+(42)+(0)+(0)+(0)+(0)</f>
        <v>42</v>
      </c>
      <c r="AS77" s="118">
        <v>150</v>
      </c>
      <c r="AT77" s="62">
        <f t="shared" si="38"/>
        <v>12.600000000000023</v>
      </c>
      <c r="AU77" s="25">
        <f>+(0)+(0)+(0)+(78)</f>
        <v>78</v>
      </c>
      <c r="AV77" s="25">
        <f>+(0)+(0)+(0)+(0)+(0)+(0)+(0)+(120)</f>
        <v>120</v>
      </c>
      <c r="AW77" s="51">
        <v>150</v>
      </c>
      <c r="AX77" s="51">
        <f t="shared" si="76"/>
        <v>60.600000000000023</v>
      </c>
      <c r="AY77" s="151">
        <f t="shared" si="13"/>
        <v>0</v>
      </c>
      <c r="AZ77" s="151">
        <f>+(0)+(0)+(0)+(0)+(108)+(108)+(0)+(0)</f>
        <v>216</v>
      </c>
      <c r="BA77" s="207">
        <v>150</v>
      </c>
      <c r="BB77" s="207">
        <f t="shared" si="85"/>
        <v>126.60000000000002</v>
      </c>
      <c r="BC77" s="208">
        <f t="shared" si="22"/>
        <v>1917</v>
      </c>
    </row>
    <row r="78" spans="1:55" ht="25.8" thickBot="1" x14ac:dyDescent="0.65">
      <c r="A78" s="64">
        <v>70</v>
      </c>
      <c r="B78" s="126" t="s">
        <v>169</v>
      </c>
      <c r="C78" s="127" t="s">
        <v>15</v>
      </c>
      <c r="D78" s="135">
        <v>45448</v>
      </c>
      <c r="E78" s="130">
        <v>0</v>
      </c>
      <c r="F78" s="130">
        <f t="shared" ref="F78" si="152">+E78*$C$1</f>
        <v>0</v>
      </c>
      <c r="G78" s="130">
        <f t="shared" ref="G78" si="153">+BC78</f>
        <v>411</v>
      </c>
      <c r="H78" s="131">
        <f t="shared" ref="H78" si="154">+F78+G78</f>
        <v>411</v>
      </c>
      <c r="I78" s="132">
        <v>15</v>
      </c>
      <c r="J78" s="72">
        <v>15</v>
      </c>
      <c r="L78" s="133">
        <v>46178</v>
      </c>
      <c r="M78" s="124"/>
      <c r="N78" s="125" t="str">
        <f t="shared" ca="1" si="105"/>
        <v>O.K.</v>
      </c>
      <c r="W78" s="1" t="s">
        <v>169</v>
      </c>
      <c r="X78" s="61">
        <v>111</v>
      </c>
      <c r="Y78" s="31"/>
      <c r="Z78" s="32"/>
      <c r="AA78" s="32"/>
      <c r="AB78" s="32"/>
      <c r="AC78" s="25"/>
      <c r="AD78" s="22"/>
      <c r="AE78" s="43"/>
      <c r="AF78" s="43"/>
      <c r="AG78" s="32"/>
      <c r="AH78" s="12"/>
      <c r="AI78" s="43"/>
      <c r="AJ78" s="43"/>
      <c r="AK78" s="32"/>
      <c r="AL78" s="25"/>
      <c r="AM78" s="43"/>
      <c r="AN78" s="43"/>
      <c r="AO78" s="59"/>
      <c r="AP78" s="62"/>
      <c r="AQ78" s="65"/>
      <c r="AR78" s="65"/>
      <c r="AS78" s="118"/>
      <c r="AT78" s="62"/>
      <c r="AU78" s="25">
        <f t="shared" si="41"/>
        <v>0</v>
      </c>
      <c r="AV78" s="25">
        <f>+(0)+(0)+(0)+(0)+(0)+(0)+(60)+(120)</f>
        <v>180</v>
      </c>
      <c r="AW78" s="51">
        <v>150</v>
      </c>
      <c r="AX78" s="51">
        <f t="shared" si="76"/>
        <v>30</v>
      </c>
      <c r="AY78" s="151">
        <f>+(51)+(126)+(30)+(445.8)</f>
        <v>652.79999999999995</v>
      </c>
      <c r="AZ78" s="151">
        <f>+(60)+(0)+(186)+(0)+(0)+(30)+(0)+(0)</f>
        <v>276</v>
      </c>
      <c r="BA78" s="207">
        <v>150</v>
      </c>
      <c r="BB78" s="207">
        <f t="shared" si="85"/>
        <v>808.8</v>
      </c>
      <c r="BC78" s="208">
        <f t="shared" si="22"/>
        <v>411</v>
      </c>
    </row>
    <row r="79" spans="1:55" ht="25.8" thickBot="1" x14ac:dyDescent="0.65">
      <c r="A79" s="64">
        <v>71</v>
      </c>
      <c r="B79" s="196" t="s">
        <v>112</v>
      </c>
      <c r="C79" s="197" t="s">
        <v>15</v>
      </c>
      <c r="D79" s="201">
        <v>44652</v>
      </c>
      <c r="E79" s="198">
        <v>2</v>
      </c>
      <c r="F79" s="198">
        <f t="shared" si="16"/>
        <v>1066.6600000000001</v>
      </c>
      <c r="G79" s="198">
        <f t="shared" ref="G79:G80" si="155">+BC79</f>
        <v>546</v>
      </c>
      <c r="H79" s="199">
        <f t="shared" ref="H79:H80" si="156">+F79+G79</f>
        <v>1612.66</v>
      </c>
      <c r="I79" s="200">
        <v>14</v>
      </c>
      <c r="J79" s="72">
        <v>14</v>
      </c>
      <c r="K79" s="144" t="s">
        <v>70</v>
      </c>
      <c r="L79" s="217">
        <v>46623</v>
      </c>
      <c r="M79" s="218"/>
      <c r="N79" s="195" t="str">
        <f t="shared" ca="1" si="105"/>
        <v>O.K.</v>
      </c>
      <c r="W79" s="1" t="s">
        <v>112</v>
      </c>
      <c r="X79" s="31">
        <v>0</v>
      </c>
      <c r="Y79" s="31">
        <v>0</v>
      </c>
      <c r="Z79" s="32">
        <v>0</v>
      </c>
      <c r="AA79" s="32">
        <v>0</v>
      </c>
      <c r="AB79" s="32">
        <v>0</v>
      </c>
      <c r="AC79" s="25">
        <v>0</v>
      </c>
      <c r="AD79" s="22">
        <f t="shared" si="18"/>
        <v>0</v>
      </c>
      <c r="AE79" s="43">
        <v>0</v>
      </c>
      <c r="AF79" s="43">
        <v>0</v>
      </c>
      <c r="AG79" s="32">
        <v>0</v>
      </c>
      <c r="AH79" s="12">
        <f t="shared" si="35"/>
        <v>0</v>
      </c>
      <c r="AI79" s="43">
        <v>0</v>
      </c>
      <c r="AJ79" s="43">
        <v>0</v>
      </c>
      <c r="AK79" s="32">
        <v>0</v>
      </c>
      <c r="AL79" s="25">
        <f t="shared" si="36"/>
        <v>0</v>
      </c>
      <c r="AM79" s="43">
        <f t="shared" si="20"/>
        <v>0</v>
      </c>
      <c r="AN79" s="43">
        <f>+(0)+(0)+(0)+(0)+(0)+(96)</f>
        <v>96</v>
      </c>
      <c r="AO79" s="59">
        <v>96</v>
      </c>
      <c r="AP79" s="62">
        <f t="shared" si="37"/>
        <v>0</v>
      </c>
      <c r="AQ79" s="65">
        <f>+(0)+(75.6)+(0)+(0)+(0)+(0)</f>
        <v>75.599999999999994</v>
      </c>
      <c r="AR79" s="65">
        <f>+(0)+(75.6)+(0)+(0)+(0)+(0)</f>
        <v>75.599999999999994</v>
      </c>
      <c r="AS79" s="118">
        <v>150</v>
      </c>
      <c r="AT79" s="62">
        <f t="shared" si="38"/>
        <v>1.1999999999999886</v>
      </c>
      <c r="AU79" s="25">
        <f>+(0)+(0)+(0)+(78)</f>
        <v>78</v>
      </c>
      <c r="AV79" s="25">
        <f>+(120)+(0)+(0)+(78)+(0)+(0)+(108.6)+(0)</f>
        <v>306.60000000000002</v>
      </c>
      <c r="AW79" s="25">
        <v>150</v>
      </c>
      <c r="AX79" s="25">
        <f t="shared" si="76"/>
        <v>235.8</v>
      </c>
      <c r="AY79" s="151">
        <f t="shared" si="13"/>
        <v>0</v>
      </c>
      <c r="AZ79" s="151">
        <f t="shared" si="14"/>
        <v>0</v>
      </c>
      <c r="BA79" s="207">
        <v>150</v>
      </c>
      <c r="BB79" s="207">
        <f t="shared" si="85"/>
        <v>85.800000000000011</v>
      </c>
      <c r="BC79" s="208">
        <f t="shared" si="22"/>
        <v>546</v>
      </c>
    </row>
    <row r="80" spans="1:55" ht="25.8" thickBot="1" x14ac:dyDescent="0.65">
      <c r="A80" s="64">
        <v>72</v>
      </c>
      <c r="B80" s="126" t="s">
        <v>171</v>
      </c>
      <c r="C80" s="127" t="s">
        <v>15</v>
      </c>
      <c r="D80" s="128">
        <v>45292</v>
      </c>
      <c r="E80" s="129">
        <v>1</v>
      </c>
      <c r="F80" s="130">
        <f t="shared" si="16"/>
        <v>533.33000000000004</v>
      </c>
      <c r="G80" s="130">
        <f t="shared" si="155"/>
        <v>240</v>
      </c>
      <c r="H80" s="131">
        <f t="shared" si="156"/>
        <v>773.33</v>
      </c>
      <c r="I80" s="132">
        <v>15</v>
      </c>
      <c r="J80" s="72">
        <v>15</v>
      </c>
      <c r="L80" s="133">
        <v>46306</v>
      </c>
      <c r="M80" s="124"/>
      <c r="N80" s="125" t="str">
        <f t="shared" ca="1" si="105"/>
        <v>O.K.</v>
      </c>
      <c r="W80" s="1" t="s">
        <v>171</v>
      </c>
      <c r="X80" s="33">
        <v>0</v>
      </c>
      <c r="Y80" s="31">
        <v>0</v>
      </c>
      <c r="Z80" s="32">
        <v>0</v>
      </c>
      <c r="AA80" s="32">
        <v>0</v>
      </c>
      <c r="AB80" s="32">
        <v>0</v>
      </c>
      <c r="AC80" s="25">
        <v>0</v>
      </c>
      <c r="AD80" s="22">
        <f t="shared" si="18"/>
        <v>0</v>
      </c>
      <c r="AE80" s="43">
        <v>0</v>
      </c>
      <c r="AF80" s="43">
        <v>0</v>
      </c>
      <c r="AG80" s="32">
        <v>0</v>
      </c>
      <c r="AH80" s="12">
        <f t="shared" si="35"/>
        <v>0</v>
      </c>
      <c r="AI80" s="43">
        <v>0</v>
      </c>
      <c r="AJ80" s="43">
        <v>0</v>
      </c>
      <c r="AK80" s="32">
        <v>0</v>
      </c>
      <c r="AL80" s="25">
        <f t="shared" si="36"/>
        <v>0</v>
      </c>
      <c r="AM80" s="43">
        <v>0</v>
      </c>
      <c r="AN80" s="43">
        <v>0</v>
      </c>
      <c r="AO80" s="134">
        <v>0</v>
      </c>
      <c r="AP80" s="118">
        <f t="shared" si="37"/>
        <v>0</v>
      </c>
      <c r="AQ80" s="65">
        <v>0</v>
      </c>
      <c r="AR80" s="65">
        <v>0</v>
      </c>
      <c r="AS80" s="118">
        <v>0</v>
      </c>
      <c r="AT80" s="118">
        <f t="shared" si="38"/>
        <v>0</v>
      </c>
      <c r="AU80" s="117">
        <f t="shared" ref="AU80" si="157">+(0)+(0)+(0)+(0)</f>
        <v>0</v>
      </c>
      <c r="AV80" s="117">
        <f>+(0)+(0)+(0)+(0)+(0)+(0)+(0)+(240)</f>
        <v>240</v>
      </c>
      <c r="AW80" s="118">
        <v>120</v>
      </c>
      <c r="AX80" s="118">
        <f t="shared" si="76"/>
        <v>120</v>
      </c>
      <c r="AY80" s="151">
        <f t="shared" si="13"/>
        <v>0</v>
      </c>
      <c r="AZ80" s="151">
        <f t="shared" si="14"/>
        <v>0</v>
      </c>
      <c r="BA80" s="207">
        <v>120</v>
      </c>
      <c r="BB80" s="207">
        <f t="shared" si="85"/>
        <v>0</v>
      </c>
      <c r="BC80" s="208">
        <f t="shared" si="22"/>
        <v>240</v>
      </c>
    </row>
    <row r="81" spans="1:55" ht="25.8" thickBot="1" x14ac:dyDescent="0.65">
      <c r="A81" s="64">
        <v>73</v>
      </c>
      <c r="B81" s="86" t="s">
        <v>35</v>
      </c>
      <c r="C81" s="87" t="s">
        <v>15</v>
      </c>
      <c r="D81" s="86"/>
      <c r="E81" s="89">
        <v>15</v>
      </c>
      <c r="F81" s="89">
        <f t="shared" si="16"/>
        <v>7999.9500000000007</v>
      </c>
      <c r="G81" s="89">
        <f t="shared" si="151"/>
        <v>2041.8</v>
      </c>
      <c r="H81" s="91">
        <f t="shared" si="17"/>
        <v>10041.75</v>
      </c>
      <c r="I81" s="96">
        <v>3</v>
      </c>
      <c r="J81" s="72">
        <v>3</v>
      </c>
      <c r="L81" s="92"/>
      <c r="M81" s="93"/>
      <c r="N81" s="94" t="s">
        <v>16</v>
      </c>
      <c r="W81" s="1" t="s">
        <v>35</v>
      </c>
      <c r="X81" s="31">
        <v>975</v>
      </c>
      <c r="Y81" s="31">
        <v>150</v>
      </c>
      <c r="Z81" s="32">
        <v>96</v>
      </c>
      <c r="AA81" s="32">
        <v>96</v>
      </c>
      <c r="AB81" s="32">
        <v>150</v>
      </c>
      <c r="AC81" s="25">
        <v>211.8</v>
      </c>
      <c r="AD81" s="22">
        <f t="shared" si="18"/>
        <v>61.800000000000011</v>
      </c>
      <c r="AE81" s="43">
        <v>0</v>
      </c>
      <c r="AF81" s="43">
        <f>+(0)+(0)+(0)+(0)+(54)+(54)</f>
        <v>108</v>
      </c>
      <c r="AG81" s="32">
        <v>150</v>
      </c>
      <c r="AH81" s="12">
        <f t="shared" si="35"/>
        <v>19.800000000000011</v>
      </c>
      <c r="AI81" s="43">
        <f t="shared" si="86"/>
        <v>0</v>
      </c>
      <c r="AJ81" s="43">
        <f>+(78)+(0)+(0)+(0)+(0)+(0)</f>
        <v>78</v>
      </c>
      <c r="AK81" s="32">
        <v>97.8</v>
      </c>
      <c r="AL81" s="25">
        <f t="shared" si="36"/>
        <v>0</v>
      </c>
      <c r="AM81" s="43">
        <f t="shared" si="20"/>
        <v>0</v>
      </c>
      <c r="AN81" s="43">
        <f>+(0)+(0)+(0)+(0)+(0)+(96)</f>
        <v>96</v>
      </c>
      <c r="AO81" s="59">
        <v>96</v>
      </c>
      <c r="AP81" s="62">
        <f t="shared" si="37"/>
        <v>0</v>
      </c>
      <c r="AQ81" s="65">
        <f t="shared" si="74"/>
        <v>0</v>
      </c>
      <c r="AR81" s="65">
        <f t="shared" si="74"/>
        <v>0</v>
      </c>
      <c r="AS81" s="118">
        <v>0</v>
      </c>
      <c r="AT81" s="62">
        <f t="shared" si="38"/>
        <v>0</v>
      </c>
      <c r="AU81" s="25">
        <f>+(0)+(0)+(0)+(78)</f>
        <v>78</v>
      </c>
      <c r="AV81" s="25">
        <f>+(0)+(0)+(0)+(0)+(0)+(0)+(21)+(54)</f>
        <v>75</v>
      </c>
      <c r="AW81" s="51">
        <v>150</v>
      </c>
      <c r="AX81" s="51">
        <f t="shared" si="76"/>
        <v>3</v>
      </c>
      <c r="AY81" s="151">
        <f>+(0)+(0)+(0)+(78)</f>
        <v>78</v>
      </c>
      <c r="AZ81" s="151">
        <f t="shared" si="14"/>
        <v>0</v>
      </c>
      <c r="BA81" s="207">
        <v>81</v>
      </c>
      <c r="BB81" s="207">
        <f t="shared" si="85"/>
        <v>0</v>
      </c>
      <c r="BC81" s="208">
        <f t="shared" si="22"/>
        <v>2041.8</v>
      </c>
    </row>
    <row r="82" spans="1:55" ht="25.8" thickBot="1" x14ac:dyDescent="0.65">
      <c r="A82" s="64">
        <v>74</v>
      </c>
      <c r="B82" s="126" t="s">
        <v>110</v>
      </c>
      <c r="C82" s="127" t="s">
        <v>18</v>
      </c>
      <c r="D82" s="128">
        <v>44657</v>
      </c>
      <c r="E82" s="130">
        <v>2</v>
      </c>
      <c r="F82" s="130">
        <f t="shared" ref="F82" si="158">+E82*$C$1</f>
        <v>1066.6600000000001</v>
      </c>
      <c r="G82" s="130">
        <f t="shared" ref="G82" si="159">+BC82</f>
        <v>595.20000000000005</v>
      </c>
      <c r="H82" s="131">
        <f t="shared" ref="H82" si="160">+F82+G82</f>
        <v>1661.8600000000001</v>
      </c>
      <c r="I82" s="132">
        <v>14</v>
      </c>
      <c r="J82" s="72">
        <v>14</v>
      </c>
      <c r="L82" s="133">
        <v>46285</v>
      </c>
      <c r="M82" s="124"/>
      <c r="N82" s="125" t="str">
        <f t="shared" ca="1" si="105"/>
        <v>O.K.</v>
      </c>
      <c r="W82" s="1" t="s">
        <v>110</v>
      </c>
      <c r="X82" s="61">
        <v>145.19999999999999</v>
      </c>
      <c r="Y82" s="31">
        <v>0</v>
      </c>
      <c r="Z82" s="32">
        <v>0</v>
      </c>
      <c r="AA82" s="32">
        <v>0</v>
      </c>
      <c r="AB82" s="32">
        <v>0</v>
      </c>
      <c r="AC82" s="25">
        <v>0</v>
      </c>
      <c r="AD82" s="22">
        <f t="shared" si="18"/>
        <v>0</v>
      </c>
      <c r="AE82" s="43">
        <v>0</v>
      </c>
      <c r="AF82" s="43">
        <v>0</v>
      </c>
      <c r="AG82" s="32">
        <v>0</v>
      </c>
      <c r="AH82" s="12">
        <f t="shared" si="35"/>
        <v>0</v>
      </c>
      <c r="AI82" s="43">
        <f t="shared" si="86"/>
        <v>0</v>
      </c>
      <c r="AJ82" s="43">
        <f t="shared" si="86"/>
        <v>0</v>
      </c>
      <c r="AK82" s="32">
        <v>0</v>
      </c>
      <c r="AL82" s="25">
        <f t="shared" si="36"/>
        <v>0</v>
      </c>
      <c r="AM82" s="43">
        <f t="shared" si="20"/>
        <v>0</v>
      </c>
      <c r="AN82" s="43">
        <f t="shared" si="20"/>
        <v>0</v>
      </c>
      <c r="AO82" s="59">
        <v>0</v>
      </c>
      <c r="AP82" s="62">
        <f t="shared" si="37"/>
        <v>0</v>
      </c>
      <c r="AQ82" s="65">
        <f>+(288)+(45)+(0)+(0)+(54)+(0)</f>
        <v>387</v>
      </c>
      <c r="AR82" s="65">
        <f>+(0)+(120)+(0)+(0)+(0)+(0)</f>
        <v>120</v>
      </c>
      <c r="AS82" s="118">
        <v>150</v>
      </c>
      <c r="AT82" s="62">
        <f t="shared" si="38"/>
        <v>357</v>
      </c>
      <c r="AU82" s="25">
        <f>+(0)+(0)+(0)+(174)</f>
        <v>174</v>
      </c>
      <c r="AV82" s="25">
        <f>+(0)+(0)+(0)+(156)+(0)+(0)+(0)+(0)</f>
        <v>156</v>
      </c>
      <c r="AW82" s="25">
        <v>150</v>
      </c>
      <c r="AX82" s="25">
        <f t="shared" si="76"/>
        <v>537</v>
      </c>
      <c r="AY82" s="151">
        <f t="shared" si="13"/>
        <v>0</v>
      </c>
      <c r="AZ82" s="151">
        <f>+(0)+(0)+(78)+(0)+(0)+(0)+(0)+(0)</f>
        <v>78</v>
      </c>
      <c r="BA82" s="207">
        <v>150</v>
      </c>
      <c r="BB82" s="207">
        <f t="shared" ref="BB82:BB103" si="161">(AX82+AY82+AZ82)-BA82</f>
        <v>465</v>
      </c>
      <c r="BC82" s="208">
        <f t="shared" si="22"/>
        <v>595.20000000000005</v>
      </c>
    </row>
    <row r="83" spans="1:55" ht="25.8" thickBot="1" x14ac:dyDescent="0.65">
      <c r="A83" s="64">
        <v>75</v>
      </c>
      <c r="B83" s="126" t="s">
        <v>178</v>
      </c>
      <c r="C83" s="127" t="s">
        <v>15</v>
      </c>
      <c r="D83" s="128">
        <v>45574</v>
      </c>
      <c r="E83" s="130">
        <v>0</v>
      </c>
      <c r="F83" s="130">
        <f t="shared" ref="F83:F86" si="162">+E83*$C$1</f>
        <v>0</v>
      </c>
      <c r="G83" s="130">
        <f t="shared" ref="G83:G84" si="163">+BC83</f>
        <v>108</v>
      </c>
      <c r="H83" s="131">
        <f t="shared" ref="H83:H84" si="164">+F83+G83</f>
        <v>108</v>
      </c>
      <c r="I83" s="132">
        <v>15</v>
      </c>
      <c r="J83" s="72">
        <v>15</v>
      </c>
      <c r="L83" s="138">
        <v>46304</v>
      </c>
      <c r="M83" s="139"/>
      <c r="N83" s="125" t="str">
        <f t="shared" ca="1" si="105"/>
        <v>O.K.</v>
      </c>
      <c r="W83" s="1" t="s">
        <v>178</v>
      </c>
      <c r="X83" s="31"/>
      <c r="Y83" s="31"/>
      <c r="Z83" s="32"/>
      <c r="AA83" s="32"/>
      <c r="AB83" s="32"/>
      <c r="AC83" s="25"/>
      <c r="AD83" s="22"/>
      <c r="AE83" s="43"/>
      <c r="AF83" s="43"/>
      <c r="AG83" s="32"/>
      <c r="AH83" s="12"/>
      <c r="AI83" s="43"/>
      <c r="AJ83" s="43"/>
      <c r="AK83" s="32"/>
      <c r="AL83" s="25"/>
      <c r="AM83" s="43"/>
      <c r="AN83" s="43"/>
      <c r="AO83" s="59"/>
      <c r="AP83" s="62"/>
      <c r="AQ83" s="65"/>
      <c r="AR83" s="65"/>
      <c r="AS83" s="118"/>
      <c r="AT83" s="62"/>
      <c r="AU83" s="25"/>
      <c r="AV83" s="25"/>
      <c r="AW83" s="25"/>
      <c r="AX83" s="25"/>
      <c r="AY83" s="151">
        <f t="shared" ref="AY83:AY154" si="165">+(0)+(0)+(0)+(0)</f>
        <v>0</v>
      </c>
      <c r="AZ83" s="151">
        <f>+(30)+(0)+(0)+(0)+(78)+(0)+(0)+(0)</f>
        <v>108</v>
      </c>
      <c r="BA83" s="207">
        <v>108</v>
      </c>
      <c r="BB83" s="207">
        <f t="shared" ref="BB83:BB85" si="166">(AX83+AY83+AZ83)-BA83</f>
        <v>0</v>
      </c>
      <c r="BC83" s="208">
        <f t="shared" ref="BC83:BC85" si="167">SUM(X83:AA83)+AB83+AG83+AK83+AO83+AS83+AW83+BA83</f>
        <v>108</v>
      </c>
    </row>
    <row r="84" spans="1:55" ht="25.8" thickBot="1" x14ac:dyDescent="0.65">
      <c r="A84" s="64">
        <v>76</v>
      </c>
      <c r="B84" s="126" t="s">
        <v>186</v>
      </c>
      <c r="C84" s="127" t="s">
        <v>15</v>
      </c>
      <c r="D84" s="128">
        <v>43255</v>
      </c>
      <c r="E84" s="130">
        <v>3</v>
      </c>
      <c r="F84" s="130">
        <f t="shared" si="162"/>
        <v>1599.9900000000002</v>
      </c>
      <c r="G84" s="130">
        <f t="shared" si="163"/>
        <v>1406</v>
      </c>
      <c r="H84" s="131">
        <f t="shared" si="164"/>
        <v>3005.9900000000002</v>
      </c>
      <c r="I84" s="132">
        <v>12</v>
      </c>
      <c r="J84" s="72">
        <v>12</v>
      </c>
      <c r="L84" s="138">
        <v>46177</v>
      </c>
      <c r="M84" s="139"/>
      <c r="N84" s="125" t="str">
        <f t="shared" ca="1" si="105"/>
        <v>O.K.</v>
      </c>
      <c r="W84" s="1" t="s">
        <v>186</v>
      </c>
      <c r="X84" s="31">
        <v>260</v>
      </c>
      <c r="Y84" s="31">
        <v>0</v>
      </c>
      <c r="Z84" s="32">
        <v>0</v>
      </c>
      <c r="AA84" s="32">
        <v>96</v>
      </c>
      <c r="AB84" s="32">
        <v>150</v>
      </c>
      <c r="AC84" s="25">
        <v>330.6</v>
      </c>
      <c r="AD84" s="22">
        <f t="shared" ref="AD84" si="168">+AC84-AB84</f>
        <v>180.60000000000002</v>
      </c>
      <c r="AE84" s="43">
        <f>153.6+120</f>
        <v>273.60000000000002</v>
      </c>
      <c r="AF84" s="43">
        <f>+(0)+(0)+(0)+(0)+(54)+(277.8)</f>
        <v>331.8</v>
      </c>
      <c r="AG84" s="32">
        <v>150</v>
      </c>
      <c r="AH84" s="12">
        <f t="shared" ref="AH84" si="169">+AD84+(AE84+AF84)-AG84</f>
        <v>636.00000000000011</v>
      </c>
      <c r="AI84" s="43">
        <f t="shared" ref="AI84" si="170">+(0)+(0)+(0)+(0)+(0)+(0)</f>
        <v>0</v>
      </c>
      <c r="AJ84" s="43">
        <f>+(0)+(78)+(78)+(0)+(0)+(0)</f>
        <v>156</v>
      </c>
      <c r="AK84" s="32">
        <v>150</v>
      </c>
      <c r="AL84" s="25">
        <f t="shared" ref="AL84" si="171">+AH84+AI84+AJ84-AK84</f>
        <v>642.00000000000011</v>
      </c>
      <c r="AM84" s="43">
        <f t="shared" ref="AM84:AN84" si="172">+(0)+(0)+(0)+(0)+(0)+(0)</f>
        <v>0</v>
      </c>
      <c r="AN84" s="43">
        <f t="shared" si="172"/>
        <v>0</v>
      </c>
      <c r="AO84" s="59">
        <v>150</v>
      </c>
      <c r="AP84" s="62">
        <f t="shared" ref="AP84" si="173">+AL84+AM84+AN84-AO84</f>
        <v>492.00000000000011</v>
      </c>
      <c r="AQ84" s="65">
        <f>+(198)+(0)+(0)+(21.6)+(54)+(0)</f>
        <v>273.60000000000002</v>
      </c>
      <c r="AR84" s="65">
        <f>+(120)+(0)+(0)+(0)+(0)+(0)</f>
        <v>120</v>
      </c>
      <c r="AS84" s="118">
        <v>150</v>
      </c>
      <c r="AT84" s="62">
        <f t="shared" ref="AT84" si="174">+AP84+AQ84+AR84-AS84</f>
        <v>735.60000000000014</v>
      </c>
      <c r="AU84" s="65">
        <f>+(0)+(0)+(30)+(390)</f>
        <v>420</v>
      </c>
      <c r="AV84" s="191">
        <f>+(120)+(0)+(0)+(0)+(0)+(37.8)+(30)+(75.6)</f>
        <v>263.39999999999998</v>
      </c>
      <c r="AW84" s="62">
        <v>150</v>
      </c>
      <c r="AX84" s="62">
        <f t="shared" ref="AX84" si="175">(+AT84+AU84+AV84)-AW84</f>
        <v>1269</v>
      </c>
      <c r="AY84" s="151">
        <f>+(0)+(0)+(0)+(78)</f>
        <v>78</v>
      </c>
      <c r="AZ84" s="151">
        <f t="shared" ref="AZ84" si="176">+(0)+(0)+(0)+(0)+(0)+(0)+(0)+(0)</f>
        <v>0</v>
      </c>
      <c r="BA84" s="207">
        <v>150</v>
      </c>
      <c r="BB84" s="207">
        <f t="shared" si="166"/>
        <v>1197</v>
      </c>
      <c r="BC84" s="210">
        <f t="shared" si="167"/>
        <v>1406</v>
      </c>
    </row>
    <row r="85" spans="1:55" ht="25.8" thickBot="1" x14ac:dyDescent="0.65">
      <c r="A85" s="64">
        <v>77</v>
      </c>
      <c r="B85" s="126" t="s">
        <v>187</v>
      </c>
      <c r="C85" s="127" t="s">
        <v>15</v>
      </c>
      <c r="D85" s="128">
        <v>45658</v>
      </c>
      <c r="E85" s="130">
        <v>0</v>
      </c>
      <c r="F85" s="130">
        <f t="shared" si="162"/>
        <v>0</v>
      </c>
      <c r="G85" s="130">
        <f t="shared" ref="G85" si="177">+BC85</f>
        <v>0</v>
      </c>
      <c r="H85" s="131">
        <f t="shared" ref="H85" si="178">+F85+G85</f>
        <v>0</v>
      </c>
      <c r="I85" s="132">
        <v>15</v>
      </c>
      <c r="J85" s="72">
        <v>15</v>
      </c>
      <c r="L85" s="138">
        <v>46388</v>
      </c>
      <c r="M85" s="139"/>
      <c r="N85" s="125" t="str">
        <f t="shared" ca="1" si="105"/>
        <v>O.K.</v>
      </c>
      <c r="W85" s="1" t="s">
        <v>187</v>
      </c>
      <c r="X85" s="31"/>
      <c r="Y85" s="31"/>
      <c r="Z85" s="32"/>
      <c r="AA85" s="32"/>
      <c r="AB85" s="32"/>
      <c r="AC85" s="25"/>
      <c r="AD85" s="22"/>
      <c r="AE85" s="43"/>
      <c r="AF85" s="43"/>
      <c r="AG85" s="32"/>
      <c r="AH85" s="12"/>
      <c r="AI85" s="43"/>
      <c r="AJ85" s="43"/>
      <c r="AK85" s="32"/>
      <c r="AL85" s="25"/>
      <c r="AM85" s="43"/>
      <c r="AN85" s="43"/>
      <c r="AO85" s="59"/>
      <c r="AP85" s="62"/>
      <c r="AQ85" s="65"/>
      <c r="AR85" s="65"/>
      <c r="AS85" s="118"/>
      <c r="AT85" s="62"/>
      <c r="AU85" s="65"/>
      <c r="AV85" s="191"/>
      <c r="AW85" s="62"/>
      <c r="AX85" s="62"/>
      <c r="AY85" s="151">
        <f t="shared" si="165"/>
        <v>0</v>
      </c>
      <c r="AZ85" s="151">
        <f t="shared" ref="AZ85:AZ151" si="179">+(0)+(0)+(0)+(0)+(0)+(0)+(0)+(0)</f>
        <v>0</v>
      </c>
      <c r="BA85" s="207">
        <v>0</v>
      </c>
      <c r="BB85" s="207">
        <f t="shared" si="166"/>
        <v>0</v>
      </c>
      <c r="BC85" s="210">
        <f t="shared" si="167"/>
        <v>0</v>
      </c>
    </row>
    <row r="86" spans="1:55" ht="25.8" thickBot="1" x14ac:dyDescent="0.65">
      <c r="A86" s="64">
        <v>78</v>
      </c>
      <c r="B86" s="175" t="s">
        <v>194</v>
      </c>
      <c r="C86" s="176" t="s">
        <v>15</v>
      </c>
      <c r="D86" s="183">
        <v>45733</v>
      </c>
      <c r="E86" s="177">
        <v>6</v>
      </c>
      <c r="F86" s="177">
        <f t="shared" si="162"/>
        <v>3199.9800000000005</v>
      </c>
      <c r="G86" s="177">
        <f t="shared" ref="G86" si="180">+BC86</f>
        <v>378</v>
      </c>
      <c r="H86" s="178">
        <f t="shared" ref="H86" si="181">+F86+G86</f>
        <v>3577.9800000000005</v>
      </c>
      <c r="I86" s="179">
        <v>11</v>
      </c>
      <c r="J86" s="72">
        <v>11</v>
      </c>
      <c r="L86" s="185">
        <v>46520</v>
      </c>
      <c r="M86" s="186"/>
      <c r="N86" s="182" t="str">
        <f t="shared" ca="1" si="105"/>
        <v>O.K.</v>
      </c>
      <c r="W86" s="1" t="s">
        <v>194</v>
      </c>
      <c r="X86" s="61">
        <v>378</v>
      </c>
      <c r="Y86" s="31"/>
      <c r="Z86" s="32"/>
      <c r="AA86" s="32"/>
      <c r="AB86" s="32"/>
      <c r="AC86" s="25"/>
      <c r="AD86" s="22"/>
      <c r="AE86" s="43"/>
      <c r="AF86" s="43"/>
      <c r="AG86" s="32"/>
      <c r="AH86" s="12"/>
      <c r="AI86" s="43"/>
      <c r="AJ86" s="43"/>
      <c r="AK86" s="32"/>
      <c r="AL86" s="25"/>
      <c r="AM86" s="43"/>
      <c r="AN86" s="43"/>
      <c r="AO86" s="59"/>
      <c r="AP86" s="62"/>
      <c r="AQ86" s="65"/>
      <c r="AR86" s="65"/>
      <c r="AS86" s="118"/>
      <c r="AT86" s="62"/>
      <c r="AU86" s="65"/>
      <c r="AV86" s="191"/>
      <c r="AW86" s="62"/>
      <c r="AX86" s="62"/>
      <c r="AY86" s="151">
        <f t="shared" si="165"/>
        <v>0</v>
      </c>
      <c r="AZ86" s="151">
        <f t="shared" si="179"/>
        <v>0</v>
      </c>
      <c r="BA86" s="207">
        <v>0</v>
      </c>
      <c r="BB86" s="207">
        <f t="shared" ref="BB86" si="182">(AX86+AY86+AZ86)-BA86</f>
        <v>0</v>
      </c>
      <c r="BC86" s="210">
        <f t="shared" ref="BC86" si="183">SUM(X86:AA86)+AB86+AG86+AK86+AO86+AS86+AW86+BA86</f>
        <v>378</v>
      </c>
    </row>
    <row r="87" spans="1:55" ht="25.8" thickBot="1" x14ac:dyDescent="0.65">
      <c r="A87" s="64">
        <v>79</v>
      </c>
      <c r="B87" s="73" t="s">
        <v>91</v>
      </c>
      <c r="C87" s="74" t="s">
        <v>26</v>
      </c>
      <c r="D87" s="75">
        <v>44440</v>
      </c>
      <c r="E87" s="76">
        <v>1</v>
      </c>
      <c r="F87" s="76">
        <f t="shared" si="16"/>
        <v>533.33000000000004</v>
      </c>
      <c r="G87" s="76">
        <f t="shared" si="151"/>
        <v>504</v>
      </c>
      <c r="H87" s="77">
        <f t="shared" si="17"/>
        <v>1037.33</v>
      </c>
      <c r="I87" s="78">
        <v>14</v>
      </c>
      <c r="J87" s="72">
        <v>14</v>
      </c>
      <c r="L87" s="84">
        <v>45901</v>
      </c>
      <c r="M87" s="85"/>
      <c r="N87" s="81" t="str">
        <f t="shared" ca="1" si="105"/>
        <v>O.K.</v>
      </c>
      <c r="W87" s="1" t="s">
        <v>91</v>
      </c>
      <c r="X87" s="61">
        <v>24</v>
      </c>
      <c r="Y87" s="31">
        <v>0</v>
      </c>
      <c r="Z87" s="32">
        <v>0</v>
      </c>
      <c r="AA87" s="32">
        <v>0</v>
      </c>
      <c r="AB87" s="32">
        <v>0</v>
      </c>
      <c r="AC87" s="25">
        <v>0</v>
      </c>
      <c r="AD87" s="22">
        <f t="shared" si="18"/>
        <v>0</v>
      </c>
      <c r="AE87" s="43">
        <v>0</v>
      </c>
      <c r="AF87" s="43">
        <v>0</v>
      </c>
      <c r="AG87" s="32">
        <v>0</v>
      </c>
      <c r="AH87" s="12">
        <f t="shared" si="35"/>
        <v>0</v>
      </c>
      <c r="AI87" s="43">
        <f t="shared" si="86"/>
        <v>0</v>
      </c>
      <c r="AJ87" s="43">
        <f t="shared" si="86"/>
        <v>0</v>
      </c>
      <c r="AK87" s="32">
        <v>0</v>
      </c>
      <c r="AL87" s="25">
        <f t="shared" si="36"/>
        <v>0</v>
      </c>
      <c r="AM87" s="43">
        <f>+(0)+(0)+(0)+(0)+(21)+(0)</f>
        <v>21</v>
      </c>
      <c r="AN87" s="43">
        <f>+(0)+(67.2)+(0)+(0)+(67.2)+(0)</f>
        <v>134.4</v>
      </c>
      <c r="AO87" s="59">
        <v>120</v>
      </c>
      <c r="AP87" s="62">
        <f t="shared" si="37"/>
        <v>35.400000000000006</v>
      </c>
      <c r="AQ87" s="65">
        <f>+(0)+(0)+(0)+(0)+(0)+(108)</f>
        <v>108</v>
      </c>
      <c r="AR87" s="65">
        <f t="shared" si="74"/>
        <v>0</v>
      </c>
      <c r="AS87" s="118">
        <v>120</v>
      </c>
      <c r="AT87" s="62">
        <f t="shared" si="38"/>
        <v>23.400000000000006</v>
      </c>
      <c r="AU87" s="25">
        <f t="shared" si="41"/>
        <v>0</v>
      </c>
      <c r="AV87" s="25">
        <f>+(0)+(0)+(96)+(0)+(0)+(0)+(108)+(0)</f>
        <v>204</v>
      </c>
      <c r="AW87" s="25">
        <v>120</v>
      </c>
      <c r="AX87" s="25">
        <f t="shared" si="76"/>
        <v>107.4</v>
      </c>
      <c r="AY87" s="151">
        <f>+(120)+(0)+(0)+(0)</f>
        <v>120</v>
      </c>
      <c r="AZ87" s="151">
        <f t="shared" si="179"/>
        <v>0</v>
      </c>
      <c r="BA87" s="207">
        <v>120</v>
      </c>
      <c r="BB87" s="207">
        <f t="shared" si="161"/>
        <v>107.4</v>
      </c>
      <c r="BC87" s="208">
        <f t="shared" ref="BC87:BC103" si="184">SUM(X87:AA87)+AB87+AG87+AK87+AO87+AS87+AW87+BA87</f>
        <v>504</v>
      </c>
    </row>
    <row r="88" spans="1:55" ht="25.8" thickBot="1" x14ac:dyDescent="0.65">
      <c r="A88" s="64">
        <v>80</v>
      </c>
      <c r="B88" s="175" t="s">
        <v>142</v>
      </c>
      <c r="C88" s="176" t="s">
        <v>26</v>
      </c>
      <c r="D88" s="183">
        <v>45128</v>
      </c>
      <c r="E88" s="177">
        <v>1</v>
      </c>
      <c r="F88" s="177">
        <f t="shared" ref="F88" si="185">+E88*$C$1</f>
        <v>533.33000000000004</v>
      </c>
      <c r="G88" s="177">
        <f t="shared" ref="G88" si="186">+BC88</f>
        <v>30</v>
      </c>
      <c r="H88" s="178">
        <f t="shared" ref="H88" si="187">+F88+G88</f>
        <v>563.33000000000004</v>
      </c>
      <c r="I88" s="179">
        <v>15</v>
      </c>
      <c r="J88" s="72">
        <v>15</v>
      </c>
      <c r="L88" s="185">
        <v>46589</v>
      </c>
      <c r="M88" s="186"/>
      <c r="N88" s="182" t="str">
        <f t="shared" ca="1" si="105"/>
        <v>O.K.</v>
      </c>
      <c r="W88" s="1" t="s">
        <v>142</v>
      </c>
      <c r="X88" s="31">
        <v>0</v>
      </c>
      <c r="Y88" s="31">
        <v>0</v>
      </c>
      <c r="Z88" s="32">
        <v>0</v>
      </c>
      <c r="AA88" s="32">
        <v>0</v>
      </c>
      <c r="AB88" s="32">
        <v>0</v>
      </c>
      <c r="AC88" s="25">
        <v>0</v>
      </c>
      <c r="AD88" s="22">
        <f t="shared" si="18"/>
        <v>0</v>
      </c>
      <c r="AE88" s="43">
        <v>0</v>
      </c>
      <c r="AF88" s="43">
        <v>0</v>
      </c>
      <c r="AG88" s="32">
        <v>0</v>
      </c>
      <c r="AH88" s="12">
        <f t="shared" si="35"/>
        <v>0</v>
      </c>
      <c r="AI88" s="43">
        <v>0</v>
      </c>
      <c r="AJ88" s="43">
        <v>0</v>
      </c>
      <c r="AK88" s="32">
        <v>0</v>
      </c>
      <c r="AL88" s="25">
        <f t="shared" si="36"/>
        <v>0</v>
      </c>
      <c r="AM88" s="43">
        <v>0</v>
      </c>
      <c r="AN88" s="43">
        <v>0</v>
      </c>
      <c r="AO88" s="59">
        <v>0</v>
      </c>
      <c r="AP88" s="62">
        <f t="shared" si="37"/>
        <v>0</v>
      </c>
      <c r="AQ88" s="65">
        <f t="shared" si="74"/>
        <v>0</v>
      </c>
      <c r="AR88" s="65">
        <f t="shared" si="74"/>
        <v>0</v>
      </c>
      <c r="AS88" s="118">
        <v>0</v>
      </c>
      <c r="AT88" s="62">
        <f t="shared" si="38"/>
        <v>0</v>
      </c>
      <c r="AU88" s="25">
        <f t="shared" si="41"/>
        <v>0</v>
      </c>
      <c r="AV88" s="25">
        <f t="shared" si="48"/>
        <v>0</v>
      </c>
      <c r="AW88" s="25">
        <v>0</v>
      </c>
      <c r="AX88" s="25">
        <f t="shared" si="76"/>
        <v>0</v>
      </c>
      <c r="AY88" s="151">
        <f t="shared" si="165"/>
        <v>0</v>
      </c>
      <c r="AZ88" s="151">
        <f>+(0)+(30)+(0)+(0)+(0)+(0)+(0)+(0)</f>
        <v>30</v>
      </c>
      <c r="BA88" s="207">
        <v>30</v>
      </c>
      <c r="BB88" s="207">
        <f t="shared" si="161"/>
        <v>0</v>
      </c>
      <c r="BC88" s="208">
        <f t="shared" si="184"/>
        <v>30</v>
      </c>
    </row>
    <row r="89" spans="1:55" ht="25.8" thickBot="1" x14ac:dyDescent="0.65">
      <c r="A89" s="64">
        <v>81</v>
      </c>
      <c r="B89" s="126" t="s">
        <v>164</v>
      </c>
      <c r="C89" s="127" t="s">
        <v>13</v>
      </c>
      <c r="D89" s="128">
        <v>45292</v>
      </c>
      <c r="E89" s="130">
        <v>1</v>
      </c>
      <c r="F89" s="130">
        <f t="shared" ref="F89" si="188">+E89*$C$1</f>
        <v>533.33000000000004</v>
      </c>
      <c r="G89" s="130">
        <f t="shared" ref="G89" si="189">+BC89</f>
        <v>120</v>
      </c>
      <c r="H89" s="131">
        <f t="shared" ref="H89" si="190">+F89+G89</f>
        <v>653.33000000000004</v>
      </c>
      <c r="I89" s="132">
        <v>15</v>
      </c>
      <c r="J89" s="72">
        <v>15</v>
      </c>
      <c r="L89" s="138">
        <v>46023</v>
      </c>
      <c r="M89" s="139"/>
      <c r="N89" s="125" t="str">
        <f t="shared" ca="1" si="105"/>
        <v>O.K.</v>
      </c>
      <c r="W89" s="1" t="s">
        <v>164</v>
      </c>
      <c r="X89" s="31">
        <v>0</v>
      </c>
      <c r="Y89" s="31">
        <v>0</v>
      </c>
      <c r="Z89" s="32">
        <v>0</v>
      </c>
      <c r="AA89" s="32">
        <v>0</v>
      </c>
      <c r="AB89" s="32">
        <v>0</v>
      </c>
      <c r="AC89" s="25">
        <v>0</v>
      </c>
      <c r="AD89" s="22">
        <f t="shared" si="18"/>
        <v>0</v>
      </c>
      <c r="AE89" s="43">
        <v>0</v>
      </c>
      <c r="AF89" s="43">
        <v>0</v>
      </c>
      <c r="AG89" s="32">
        <v>0</v>
      </c>
      <c r="AH89" s="12">
        <f t="shared" si="35"/>
        <v>0</v>
      </c>
      <c r="AI89" s="43">
        <v>0</v>
      </c>
      <c r="AJ89" s="43">
        <v>0</v>
      </c>
      <c r="AK89" s="32">
        <v>0</v>
      </c>
      <c r="AL89" s="25">
        <f t="shared" si="36"/>
        <v>0</v>
      </c>
      <c r="AM89" s="43">
        <v>0</v>
      </c>
      <c r="AN89" s="43">
        <v>0</v>
      </c>
      <c r="AO89" s="59">
        <v>0</v>
      </c>
      <c r="AP89" s="62">
        <f t="shared" si="37"/>
        <v>0</v>
      </c>
      <c r="AQ89" s="65">
        <v>0</v>
      </c>
      <c r="AR89" s="65">
        <v>0</v>
      </c>
      <c r="AS89" s="118">
        <v>0</v>
      </c>
      <c r="AT89" s="62">
        <f t="shared" si="38"/>
        <v>0</v>
      </c>
      <c r="AU89" s="25">
        <f t="shared" si="41"/>
        <v>0</v>
      </c>
      <c r="AV89" s="25">
        <f t="shared" si="48"/>
        <v>0</v>
      </c>
      <c r="AW89" s="25">
        <v>0</v>
      </c>
      <c r="AX89" s="25">
        <f t="shared" si="76"/>
        <v>0</v>
      </c>
      <c r="AY89" s="151">
        <f>+(0)+(0)+(0)+(96)</f>
        <v>96</v>
      </c>
      <c r="AZ89" s="151">
        <f>+(0)+(0)+(0)+(0)+(0)+(30)+(0)+(0)</f>
        <v>30</v>
      </c>
      <c r="BA89" s="207">
        <v>120</v>
      </c>
      <c r="BB89" s="207">
        <f t="shared" si="161"/>
        <v>6</v>
      </c>
      <c r="BC89" s="208">
        <f t="shared" si="184"/>
        <v>120</v>
      </c>
    </row>
    <row r="90" spans="1:55" ht="25.8" thickBot="1" x14ac:dyDescent="0.65">
      <c r="A90" s="64">
        <v>82</v>
      </c>
      <c r="B90" s="126" t="s">
        <v>134</v>
      </c>
      <c r="C90" s="127" t="s">
        <v>135</v>
      </c>
      <c r="D90" s="126" t="s">
        <v>136</v>
      </c>
      <c r="E90" s="130">
        <v>12</v>
      </c>
      <c r="F90" s="130">
        <f t="shared" si="16"/>
        <v>6399.9600000000009</v>
      </c>
      <c r="G90" s="130">
        <f t="shared" si="151"/>
        <v>2286</v>
      </c>
      <c r="H90" s="131">
        <f t="shared" si="17"/>
        <v>8685.9600000000009</v>
      </c>
      <c r="I90" s="132">
        <v>4</v>
      </c>
      <c r="J90" s="72">
        <v>4</v>
      </c>
      <c r="L90" s="138">
        <v>46119</v>
      </c>
      <c r="M90" s="139"/>
      <c r="N90" s="125" t="str">
        <f t="shared" ca="1" si="105"/>
        <v>O.K.</v>
      </c>
      <c r="W90" s="1" t="s">
        <v>134</v>
      </c>
      <c r="X90" s="34">
        <v>1200</v>
      </c>
      <c r="Y90" s="31">
        <v>96</v>
      </c>
      <c r="Z90" s="32">
        <v>120</v>
      </c>
      <c r="AA90" s="32">
        <v>96</v>
      </c>
      <c r="AB90" s="32">
        <v>120</v>
      </c>
      <c r="AC90" s="25">
        <v>156</v>
      </c>
      <c r="AD90" s="22">
        <f t="shared" si="18"/>
        <v>36</v>
      </c>
      <c r="AE90" s="43">
        <v>78</v>
      </c>
      <c r="AF90" s="43">
        <f>+(54)+(132.6)+(0)+(0)+(54)+(162)</f>
        <v>402.6</v>
      </c>
      <c r="AG90" s="32">
        <v>120</v>
      </c>
      <c r="AH90" s="12">
        <f t="shared" si="35"/>
        <v>396.6</v>
      </c>
      <c r="AI90" s="43">
        <f t="shared" si="86"/>
        <v>0</v>
      </c>
      <c r="AJ90" s="43">
        <f>+(0)+(78)+(0)+(0)+(0)+(0)</f>
        <v>78</v>
      </c>
      <c r="AK90" s="32">
        <v>120</v>
      </c>
      <c r="AL90" s="25">
        <f t="shared" si="36"/>
        <v>354.6</v>
      </c>
      <c r="AM90" s="43">
        <f t="shared" ref="AM90:AN90" si="191">+(0)+(0)+(0)+(0)+(0)+(0)</f>
        <v>0</v>
      </c>
      <c r="AN90" s="43">
        <f t="shared" si="191"/>
        <v>0</v>
      </c>
      <c r="AO90" s="59">
        <v>120</v>
      </c>
      <c r="AP90" s="62">
        <f t="shared" si="37"/>
        <v>234.60000000000002</v>
      </c>
      <c r="AQ90" s="65">
        <f t="shared" si="74"/>
        <v>0</v>
      </c>
      <c r="AR90" s="65">
        <f t="shared" si="74"/>
        <v>0</v>
      </c>
      <c r="AS90" s="118">
        <v>120</v>
      </c>
      <c r="AT90" s="62">
        <f t="shared" si="38"/>
        <v>114.60000000000002</v>
      </c>
      <c r="AU90" s="25">
        <f>+(0)+(0)+(0)+(59.4)</f>
        <v>59.4</v>
      </c>
      <c r="AV90" s="25">
        <f t="shared" si="48"/>
        <v>0</v>
      </c>
      <c r="AW90" s="25">
        <v>120</v>
      </c>
      <c r="AX90" s="25">
        <f t="shared" si="76"/>
        <v>54.000000000000028</v>
      </c>
      <c r="AY90" s="151">
        <f t="shared" si="165"/>
        <v>0</v>
      </c>
      <c r="AZ90" s="151">
        <f t="shared" si="179"/>
        <v>0</v>
      </c>
      <c r="BA90" s="207">
        <v>54</v>
      </c>
      <c r="BB90" s="207">
        <f t="shared" si="161"/>
        <v>0</v>
      </c>
      <c r="BC90" s="208">
        <f t="shared" si="184"/>
        <v>2286</v>
      </c>
    </row>
    <row r="91" spans="1:55" ht="25.8" thickBot="1" x14ac:dyDescent="0.65">
      <c r="A91" s="64">
        <v>83</v>
      </c>
      <c r="B91" s="175" t="s">
        <v>125</v>
      </c>
      <c r="C91" s="176" t="s">
        <v>26</v>
      </c>
      <c r="D91" s="183">
        <v>44927</v>
      </c>
      <c r="E91" s="177">
        <v>2</v>
      </c>
      <c r="F91" s="177">
        <f t="shared" si="16"/>
        <v>1066.6600000000001</v>
      </c>
      <c r="G91" s="177">
        <f t="shared" ref="G91" si="192">+BC91</f>
        <v>390</v>
      </c>
      <c r="H91" s="178">
        <f t="shared" ref="H91" si="193">+F91+G91</f>
        <v>1456.66</v>
      </c>
      <c r="I91" s="179">
        <v>14</v>
      </c>
      <c r="J91" s="72">
        <v>14</v>
      </c>
      <c r="L91" s="185">
        <v>46388</v>
      </c>
      <c r="M91" s="186"/>
      <c r="N91" s="182" t="str">
        <f t="shared" ca="1" si="105"/>
        <v>O.K.</v>
      </c>
      <c r="W91" s="1" t="s">
        <v>125</v>
      </c>
      <c r="X91" s="61">
        <v>30</v>
      </c>
      <c r="Y91" s="31">
        <v>0</v>
      </c>
      <c r="Z91" s="32">
        <v>0</v>
      </c>
      <c r="AA91" s="32">
        <v>0</v>
      </c>
      <c r="AB91" s="32">
        <v>0</v>
      </c>
      <c r="AC91" s="25">
        <v>0</v>
      </c>
      <c r="AD91" s="22">
        <f t="shared" si="18"/>
        <v>0</v>
      </c>
      <c r="AE91" s="43">
        <v>0</v>
      </c>
      <c r="AF91" s="43">
        <v>0</v>
      </c>
      <c r="AG91" s="32">
        <v>0</v>
      </c>
      <c r="AH91" s="12">
        <f t="shared" si="35"/>
        <v>0</v>
      </c>
      <c r="AI91" s="43">
        <v>0</v>
      </c>
      <c r="AJ91" s="43">
        <v>0</v>
      </c>
      <c r="AK91" s="32">
        <v>0</v>
      </c>
      <c r="AL91" s="25">
        <f t="shared" si="36"/>
        <v>0</v>
      </c>
      <c r="AM91" s="43">
        <v>0</v>
      </c>
      <c r="AN91" s="43">
        <v>0</v>
      </c>
      <c r="AO91" s="59">
        <v>0</v>
      </c>
      <c r="AP91" s="62">
        <f t="shared" si="37"/>
        <v>0</v>
      </c>
      <c r="AQ91" s="65">
        <f>+(0)+(0)+(0)+(120)+(0)+(120)</f>
        <v>240</v>
      </c>
      <c r="AR91" s="65">
        <f>+(0)+(319.8)+(0)+(0)+(0)+(0)</f>
        <v>319.8</v>
      </c>
      <c r="AS91" s="118">
        <v>120</v>
      </c>
      <c r="AT91" s="62">
        <f t="shared" si="38"/>
        <v>439.79999999999995</v>
      </c>
      <c r="AU91" s="25">
        <f t="shared" si="41"/>
        <v>0</v>
      </c>
      <c r="AV91" s="25">
        <f>+(0)+(0)+(0)+(0)+(120)+(0)+(0)+(0)</f>
        <v>120</v>
      </c>
      <c r="AW91" s="25">
        <v>120</v>
      </c>
      <c r="AX91" s="25">
        <f t="shared" si="76"/>
        <v>439.79999999999995</v>
      </c>
      <c r="AY91" s="151">
        <f>+(0)+(0)+(54)+(0)</f>
        <v>54</v>
      </c>
      <c r="AZ91" s="151">
        <f>+(0)+(0)+(0)+(0)+(132)+(78)+(0)+(0)</f>
        <v>210</v>
      </c>
      <c r="BA91" s="207">
        <v>120</v>
      </c>
      <c r="BB91" s="207">
        <f t="shared" si="161"/>
        <v>583.79999999999995</v>
      </c>
      <c r="BC91" s="208">
        <f t="shared" si="184"/>
        <v>390</v>
      </c>
    </row>
    <row r="92" spans="1:55" ht="25.8" thickBot="1" x14ac:dyDescent="0.65">
      <c r="A92" s="64">
        <v>84</v>
      </c>
      <c r="B92" s="175" t="s">
        <v>87</v>
      </c>
      <c r="C92" s="176" t="s">
        <v>15</v>
      </c>
      <c r="D92" s="175" t="s">
        <v>88</v>
      </c>
      <c r="E92" s="187">
        <v>7</v>
      </c>
      <c r="F92" s="177">
        <f t="shared" si="16"/>
        <v>3733.3100000000004</v>
      </c>
      <c r="G92" s="177">
        <f>+'BIENIOS DEPARTAMENTO DE SALUD'!BC92</f>
        <v>2046</v>
      </c>
      <c r="H92" s="178">
        <f t="shared" si="17"/>
        <v>5779.31</v>
      </c>
      <c r="I92" s="179">
        <v>9</v>
      </c>
      <c r="J92" s="72">
        <v>9</v>
      </c>
      <c r="L92" s="184">
        <v>46447</v>
      </c>
      <c r="M92" s="181"/>
      <c r="N92" s="182" t="str">
        <f t="shared" ca="1" si="105"/>
        <v>O.K.</v>
      </c>
      <c r="W92" s="1" t="s">
        <v>87</v>
      </c>
      <c r="X92" s="33">
        <v>600</v>
      </c>
      <c r="Y92" s="31">
        <v>96</v>
      </c>
      <c r="Z92" s="32">
        <v>150</v>
      </c>
      <c r="AA92" s="32">
        <v>150</v>
      </c>
      <c r="AB92" s="32">
        <v>150</v>
      </c>
      <c r="AC92" s="25">
        <v>318</v>
      </c>
      <c r="AD92" s="22">
        <f t="shared" si="18"/>
        <v>168</v>
      </c>
      <c r="AE92" s="43">
        <v>199.2</v>
      </c>
      <c r="AF92" s="43">
        <f>+(0)+(0)+(0)+(54)+(0)+(246)</f>
        <v>300</v>
      </c>
      <c r="AG92" s="32">
        <v>150</v>
      </c>
      <c r="AH92" s="12">
        <f t="shared" si="35"/>
        <v>517.20000000000005</v>
      </c>
      <c r="AI92" s="43">
        <f t="shared" si="86"/>
        <v>0</v>
      </c>
      <c r="AJ92" s="43">
        <f>+(0)+(0)+(84)+(0)+(0)+(0)</f>
        <v>84</v>
      </c>
      <c r="AK92" s="32">
        <v>150</v>
      </c>
      <c r="AL92" s="25">
        <f t="shared" si="36"/>
        <v>451.20000000000005</v>
      </c>
      <c r="AM92" s="43">
        <f t="shared" si="20"/>
        <v>0</v>
      </c>
      <c r="AN92" s="43">
        <f>+(0)+(0)+(0)+(0)+(0)+(96)</f>
        <v>96</v>
      </c>
      <c r="AO92" s="59">
        <v>150</v>
      </c>
      <c r="AP92" s="62">
        <f t="shared" si="37"/>
        <v>397.20000000000005</v>
      </c>
      <c r="AQ92" s="65">
        <f>+(0)+(120)+(0)+(0)+(54)+(0)</f>
        <v>174</v>
      </c>
      <c r="AR92" s="65">
        <f>+(120)+(0)+(0)+(0)+(0)+(0)</f>
        <v>120</v>
      </c>
      <c r="AS92" s="118">
        <v>150</v>
      </c>
      <c r="AT92" s="62">
        <f t="shared" si="38"/>
        <v>541.20000000000005</v>
      </c>
      <c r="AU92" s="25">
        <f>+(0)+(0)+(0)+(174)</f>
        <v>174</v>
      </c>
      <c r="AV92" s="25">
        <f>+(0)+(0)+(0)+(0)+(0)+(0)+(0)+(186)</f>
        <v>186</v>
      </c>
      <c r="AW92" s="51">
        <v>150</v>
      </c>
      <c r="AX92" s="51">
        <f t="shared" si="76"/>
        <v>751.2</v>
      </c>
      <c r="AY92" s="151">
        <f>+(0)+(0)+(0)+(54)</f>
        <v>54</v>
      </c>
      <c r="AZ92" s="151">
        <f t="shared" si="179"/>
        <v>0</v>
      </c>
      <c r="BA92" s="207">
        <v>150</v>
      </c>
      <c r="BB92" s="207">
        <f t="shared" si="161"/>
        <v>655.20000000000005</v>
      </c>
      <c r="BC92" s="208">
        <f t="shared" si="184"/>
        <v>2046</v>
      </c>
    </row>
    <row r="93" spans="1:55" ht="25.8" thickBot="1" x14ac:dyDescent="0.65">
      <c r="A93" s="64">
        <v>85</v>
      </c>
      <c r="B93" s="175" t="s">
        <v>109</v>
      </c>
      <c r="C93" s="176" t="s">
        <v>15</v>
      </c>
      <c r="D93" s="183">
        <v>44621</v>
      </c>
      <c r="E93" s="187">
        <v>2</v>
      </c>
      <c r="F93" s="177">
        <f t="shared" si="16"/>
        <v>1066.6600000000001</v>
      </c>
      <c r="G93" s="177">
        <f>+'BIENIOS DEPARTAMENTO DE SALUD'!BC93</f>
        <v>1422</v>
      </c>
      <c r="H93" s="178">
        <f t="shared" si="17"/>
        <v>2488.66</v>
      </c>
      <c r="I93" s="179">
        <v>13</v>
      </c>
      <c r="J93" s="72">
        <v>13</v>
      </c>
      <c r="L93" s="184">
        <v>46531</v>
      </c>
      <c r="M93" s="181"/>
      <c r="N93" s="182" t="str">
        <f t="shared" ca="1" si="105"/>
        <v>O.K.</v>
      </c>
      <c r="W93" s="1" t="s">
        <v>109</v>
      </c>
      <c r="X93" s="66">
        <v>876</v>
      </c>
      <c r="Y93" s="31">
        <v>0</v>
      </c>
      <c r="Z93" s="32">
        <v>0</v>
      </c>
      <c r="AA93" s="32">
        <v>0</v>
      </c>
      <c r="AB93" s="32">
        <v>0</v>
      </c>
      <c r="AC93" s="25">
        <v>0</v>
      </c>
      <c r="AD93" s="22">
        <f t="shared" si="18"/>
        <v>0</v>
      </c>
      <c r="AE93" s="43">
        <v>0</v>
      </c>
      <c r="AF93" s="43">
        <v>0</v>
      </c>
      <c r="AG93" s="32">
        <v>0</v>
      </c>
      <c r="AH93" s="12">
        <f t="shared" si="35"/>
        <v>0</v>
      </c>
      <c r="AI93" s="43">
        <v>0</v>
      </c>
      <c r="AJ93" s="43">
        <v>0</v>
      </c>
      <c r="AK93" s="32">
        <v>0</v>
      </c>
      <c r="AL93" s="25">
        <f t="shared" si="36"/>
        <v>0</v>
      </c>
      <c r="AM93" s="43">
        <f t="shared" si="20"/>
        <v>0</v>
      </c>
      <c r="AN93" s="43">
        <f>+(0)+(0)+(0)+(0)+(0)+(96)</f>
        <v>96</v>
      </c>
      <c r="AO93" s="59">
        <v>96</v>
      </c>
      <c r="AP93" s="62">
        <f t="shared" si="37"/>
        <v>0</v>
      </c>
      <c r="AQ93" s="65">
        <f>+(269.4)+(0)+(0)+(0)+(54)+(0)</f>
        <v>323.39999999999998</v>
      </c>
      <c r="AR93" s="65">
        <f>+(0)+(702)+(0)+(0)+(0)+(0)</f>
        <v>702</v>
      </c>
      <c r="AS93" s="118">
        <v>150</v>
      </c>
      <c r="AT93" s="62">
        <f t="shared" si="38"/>
        <v>875.40000000000009</v>
      </c>
      <c r="AU93" s="25">
        <f>+(0)+(0)+(0)+(144)</f>
        <v>144</v>
      </c>
      <c r="AV93" s="25">
        <f>+(54)+(0)+(204)+(31.2)+(0)+(0)+(0)+(0)</f>
        <v>289.2</v>
      </c>
      <c r="AW93" s="25">
        <v>150</v>
      </c>
      <c r="AX93" s="25">
        <f t="shared" si="76"/>
        <v>1158.6000000000001</v>
      </c>
      <c r="AY93" s="151">
        <f>+(0)+(30)+(150)+(132.6)</f>
        <v>312.60000000000002</v>
      </c>
      <c r="AZ93" s="151">
        <f>+(270)+(0)+(78)+(0)+(0)+(60)+(0)+(0)</f>
        <v>408</v>
      </c>
      <c r="BA93" s="207">
        <v>150</v>
      </c>
      <c r="BB93" s="207">
        <f t="shared" si="161"/>
        <v>1729.2000000000003</v>
      </c>
      <c r="BC93" s="208">
        <f t="shared" si="184"/>
        <v>1422</v>
      </c>
    </row>
    <row r="94" spans="1:55" ht="25.8" thickBot="1" x14ac:dyDescent="0.65">
      <c r="A94" s="64">
        <v>86</v>
      </c>
      <c r="B94" s="126" t="s">
        <v>173</v>
      </c>
      <c r="C94" s="127" t="s">
        <v>15</v>
      </c>
      <c r="D94" s="128">
        <v>45505</v>
      </c>
      <c r="E94" s="129">
        <v>0</v>
      </c>
      <c r="F94" s="130">
        <f t="shared" ref="F94" si="194">+E94*$C$1</f>
        <v>0</v>
      </c>
      <c r="G94" s="130">
        <f>+'BIENIOS DEPARTAMENTO DE SALUD'!BC94</f>
        <v>0</v>
      </c>
      <c r="H94" s="131">
        <f t="shared" ref="H94" si="195">+F94+G94</f>
        <v>0</v>
      </c>
      <c r="I94" s="132">
        <v>15</v>
      </c>
      <c r="J94" s="72">
        <v>15</v>
      </c>
      <c r="L94" s="133">
        <v>46235</v>
      </c>
      <c r="M94" s="124"/>
      <c r="N94" s="125" t="str">
        <f t="shared" ca="1" si="105"/>
        <v>O.K.</v>
      </c>
      <c r="W94" s="1" t="s">
        <v>173</v>
      </c>
      <c r="X94" s="31">
        <v>0</v>
      </c>
      <c r="Y94" s="31"/>
      <c r="Z94" s="32"/>
      <c r="AA94" s="32"/>
      <c r="AB94" s="32"/>
      <c r="AC94" s="25"/>
      <c r="AD94" s="22"/>
      <c r="AE94" s="43"/>
      <c r="AF94" s="43"/>
      <c r="AG94" s="32"/>
      <c r="AH94" s="12"/>
      <c r="AI94" s="43"/>
      <c r="AJ94" s="43"/>
      <c r="AK94" s="32"/>
      <c r="AL94" s="25"/>
      <c r="AM94" s="43"/>
      <c r="AN94" s="43"/>
      <c r="AO94" s="59"/>
      <c r="AP94" s="62"/>
      <c r="AQ94" s="65"/>
      <c r="AR94" s="65"/>
      <c r="AS94" s="118"/>
      <c r="AT94" s="62"/>
      <c r="AU94" s="25">
        <f t="shared" ref="AU94" si="196">+(0)+(0)+(0)+(0)</f>
        <v>0</v>
      </c>
      <c r="AV94" s="25">
        <f t="shared" ref="AV94" si="197">+(0)+(0)+(0)+(0)+(0)+(0)+(0)+(0)</f>
        <v>0</v>
      </c>
      <c r="AW94" s="25">
        <v>0</v>
      </c>
      <c r="AX94" s="25">
        <f t="shared" si="76"/>
        <v>0</v>
      </c>
      <c r="AY94" s="151">
        <f t="shared" si="165"/>
        <v>0</v>
      </c>
      <c r="AZ94" s="151">
        <f t="shared" si="179"/>
        <v>0</v>
      </c>
      <c r="BA94" s="207">
        <v>0</v>
      </c>
      <c r="BB94" s="207">
        <f t="shared" si="161"/>
        <v>0</v>
      </c>
      <c r="BC94" s="208">
        <f t="shared" si="184"/>
        <v>0</v>
      </c>
    </row>
    <row r="95" spans="1:55" ht="25.8" thickBot="1" x14ac:dyDescent="0.65">
      <c r="A95" s="64">
        <v>87</v>
      </c>
      <c r="B95" s="126" t="s">
        <v>174</v>
      </c>
      <c r="C95" s="127" t="s">
        <v>13</v>
      </c>
      <c r="D95" s="128">
        <v>45546</v>
      </c>
      <c r="E95" s="129">
        <v>1</v>
      </c>
      <c r="F95" s="130">
        <f t="shared" ref="F95" si="198">+E95*$C$1</f>
        <v>533.33000000000004</v>
      </c>
      <c r="G95" s="130">
        <f>+'BIENIOS DEPARTAMENTO DE SALUD'!BC95</f>
        <v>216</v>
      </c>
      <c r="H95" s="131">
        <f t="shared" ref="H95" si="199">+F95+G95</f>
        <v>749.33</v>
      </c>
      <c r="I95" s="132">
        <v>15</v>
      </c>
      <c r="J95" s="72">
        <v>15</v>
      </c>
      <c r="L95" s="133">
        <v>46312</v>
      </c>
      <c r="M95" s="124"/>
      <c r="N95" s="125" t="str">
        <f t="shared" ca="1" si="105"/>
        <v>O.K.</v>
      </c>
      <c r="W95" s="1" t="s">
        <v>174</v>
      </c>
      <c r="X95" s="61">
        <v>96</v>
      </c>
      <c r="Y95" s="31"/>
      <c r="Z95" s="32"/>
      <c r="AA95" s="32"/>
      <c r="AB95" s="32"/>
      <c r="AC95" s="25"/>
      <c r="AD95" s="22"/>
      <c r="AE95" s="43"/>
      <c r="AF95" s="43"/>
      <c r="AG95" s="32"/>
      <c r="AH95" s="12"/>
      <c r="AI95" s="43"/>
      <c r="AJ95" s="43"/>
      <c r="AK95" s="32"/>
      <c r="AL95" s="25"/>
      <c r="AM95" s="43"/>
      <c r="AN95" s="43"/>
      <c r="AO95" s="59"/>
      <c r="AP95" s="62"/>
      <c r="AQ95" s="65"/>
      <c r="AR95" s="65"/>
      <c r="AS95" s="118"/>
      <c r="AT95" s="62"/>
      <c r="AU95" s="25"/>
      <c r="AV95" s="25"/>
      <c r="AW95" s="25"/>
      <c r="AX95" s="25"/>
      <c r="AY95" s="151">
        <f>+(0)+(0)+(30)+(141.6)</f>
        <v>171.6</v>
      </c>
      <c r="AZ95" s="151">
        <f>+(30)+(0)+(72)+(0)+(0)+(0)+(0)+(0)</f>
        <v>102</v>
      </c>
      <c r="BA95" s="207">
        <v>120</v>
      </c>
      <c r="BB95" s="207">
        <f t="shared" ref="BB95" si="200">(AX95+AY95+AZ95)-BA95</f>
        <v>153.60000000000002</v>
      </c>
      <c r="BC95" s="208">
        <f t="shared" ref="BC95" si="201">SUM(X95:AA95)+AB95+AG95+AK95+AO95+AS95+AW95+BA95</f>
        <v>216</v>
      </c>
    </row>
    <row r="96" spans="1:55" ht="25.8" thickBot="1" x14ac:dyDescent="0.65">
      <c r="A96" s="64">
        <v>88</v>
      </c>
      <c r="B96" s="126" t="s">
        <v>153</v>
      </c>
      <c r="C96" s="127" t="s">
        <v>13</v>
      </c>
      <c r="D96" s="128">
        <v>45232</v>
      </c>
      <c r="E96" s="129">
        <v>1</v>
      </c>
      <c r="F96" s="130">
        <f t="shared" ref="F96:F97" si="202">+E96*$C$1</f>
        <v>533.33000000000004</v>
      </c>
      <c r="G96" s="130">
        <f>+'BIENIOS DEPARTAMENTO DE SALUD'!BC96</f>
        <v>240</v>
      </c>
      <c r="H96" s="131">
        <f t="shared" ref="H96" si="203">+F96+G96</f>
        <v>773.33</v>
      </c>
      <c r="I96" s="132">
        <v>14</v>
      </c>
      <c r="J96" s="72">
        <v>14</v>
      </c>
      <c r="K96" s="206" t="s">
        <v>77</v>
      </c>
      <c r="L96" s="133">
        <v>46246</v>
      </c>
      <c r="M96" s="124"/>
      <c r="N96" s="125" t="str">
        <f t="shared" ca="1" si="105"/>
        <v>O.K.</v>
      </c>
      <c r="W96" s="1" t="s">
        <v>154</v>
      </c>
      <c r="X96" s="31">
        <v>0</v>
      </c>
      <c r="Y96" s="31">
        <v>0</v>
      </c>
      <c r="Z96" s="32">
        <v>0</v>
      </c>
      <c r="AA96" s="32">
        <v>0</v>
      </c>
      <c r="AB96" s="32">
        <v>0</v>
      </c>
      <c r="AC96" s="25">
        <v>0</v>
      </c>
      <c r="AD96" s="22">
        <f t="shared" si="18"/>
        <v>0</v>
      </c>
      <c r="AE96" s="43">
        <v>0</v>
      </c>
      <c r="AF96" s="43">
        <v>0</v>
      </c>
      <c r="AG96" s="32">
        <v>0</v>
      </c>
      <c r="AH96" s="12">
        <f t="shared" si="35"/>
        <v>0</v>
      </c>
      <c r="AI96" s="43">
        <v>0</v>
      </c>
      <c r="AJ96" s="43">
        <v>0</v>
      </c>
      <c r="AK96" s="32">
        <v>0</v>
      </c>
      <c r="AL96" s="25">
        <f t="shared" si="36"/>
        <v>0</v>
      </c>
      <c r="AM96" s="43">
        <v>0</v>
      </c>
      <c r="AN96" s="43">
        <v>0</v>
      </c>
      <c r="AO96" s="59">
        <v>0</v>
      </c>
      <c r="AP96" s="62">
        <f t="shared" si="37"/>
        <v>0</v>
      </c>
      <c r="AQ96" s="65">
        <v>0</v>
      </c>
      <c r="AR96" s="65">
        <v>0</v>
      </c>
      <c r="AS96" s="118">
        <v>0</v>
      </c>
      <c r="AT96" s="62">
        <f t="shared" si="38"/>
        <v>0</v>
      </c>
      <c r="AU96" s="25">
        <f t="shared" si="41"/>
        <v>0</v>
      </c>
      <c r="AV96" s="25">
        <f>+(0)+(0)+(0)+(0)+(54)+(0)+(0)+(91.2)</f>
        <v>145.19999999999999</v>
      </c>
      <c r="AW96" s="51">
        <v>120</v>
      </c>
      <c r="AX96" s="51">
        <f t="shared" si="76"/>
        <v>25.199999999999989</v>
      </c>
      <c r="AY96" s="151">
        <f t="shared" si="165"/>
        <v>0</v>
      </c>
      <c r="AZ96" s="151">
        <f>+(0)+(0)+(78)+(0)+(0)+(30)+(0)+(0)</f>
        <v>108</v>
      </c>
      <c r="BA96" s="207">
        <v>120</v>
      </c>
      <c r="BB96" s="207">
        <f t="shared" si="161"/>
        <v>13.199999999999989</v>
      </c>
      <c r="BC96" s="208">
        <f t="shared" si="184"/>
        <v>240</v>
      </c>
    </row>
    <row r="97" spans="1:55" ht="25.8" thickBot="1" x14ac:dyDescent="0.65">
      <c r="A97" s="64">
        <v>89</v>
      </c>
      <c r="B97" s="126" t="s">
        <v>160</v>
      </c>
      <c r="C97" s="127" t="s">
        <v>18</v>
      </c>
      <c r="D97" s="128">
        <v>45299</v>
      </c>
      <c r="E97" s="129">
        <v>1</v>
      </c>
      <c r="F97" s="130">
        <f t="shared" si="202"/>
        <v>533.33000000000004</v>
      </c>
      <c r="G97" s="130">
        <f>+'BIENIOS DEPARTAMENTO DE SALUD'!BC97</f>
        <v>516</v>
      </c>
      <c r="H97" s="131">
        <f t="shared" ref="H97" si="204">+F97+G97</f>
        <v>1049.33</v>
      </c>
      <c r="I97" s="132">
        <v>14</v>
      </c>
      <c r="J97" s="72">
        <v>14</v>
      </c>
      <c r="L97" s="133">
        <v>46023</v>
      </c>
      <c r="M97" s="124"/>
      <c r="N97" s="125" t="str">
        <f t="shared" ca="1" si="105"/>
        <v>O.K.</v>
      </c>
      <c r="W97" s="1" t="s">
        <v>160</v>
      </c>
      <c r="X97" s="61">
        <v>348</v>
      </c>
      <c r="Y97" s="31">
        <v>0</v>
      </c>
      <c r="Z97" s="32">
        <v>0</v>
      </c>
      <c r="AA97" s="32">
        <v>0</v>
      </c>
      <c r="AB97" s="32">
        <v>0</v>
      </c>
      <c r="AC97" s="25">
        <v>0</v>
      </c>
      <c r="AD97" s="22">
        <f t="shared" si="18"/>
        <v>0</v>
      </c>
      <c r="AE97" s="43">
        <v>0</v>
      </c>
      <c r="AF97" s="43">
        <v>0</v>
      </c>
      <c r="AG97" s="32">
        <v>0</v>
      </c>
      <c r="AH97" s="12">
        <f t="shared" si="35"/>
        <v>0</v>
      </c>
      <c r="AI97" s="43">
        <v>0</v>
      </c>
      <c r="AJ97" s="43">
        <v>0</v>
      </c>
      <c r="AK97" s="32">
        <v>0</v>
      </c>
      <c r="AL97" s="25">
        <f t="shared" si="36"/>
        <v>0</v>
      </c>
      <c r="AM97" s="43">
        <v>0</v>
      </c>
      <c r="AN97" s="43">
        <v>0</v>
      </c>
      <c r="AO97" s="59">
        <v>0</v>
      </c>
      <c r="AP97" s="62">
        <f t="shared" si="37"/>
        <v>0</v>
      </c>
      <c r="AQ97" s="65">
        <v>0</v>
      </c>
      <c r="AR97" s="65">
        <v>0</v>
      </c>
      <c r="AS97" s="118">
        <v>0</v>
      </c>
      <c r="AT97" s="62">
        <f t="shared" si="38"/>
        <v>0</v>
      </c>
      <c r="AU97" s="25">
        <f t="shared" si="41"/>
        <v>0</v>
      </c>
      <c r="AV97" s="25">
        <f>+(0)+(0)+(0)+(0)+(108)+(0)+(0)+(60)</f>
        <v>168</v>
      </c>
      <c r="AW97" s="51">
        <v>150</v>
      </c>
      <c r="AX97" s="51">
        <f t="shared" si="76"/>
        <v>18</v>
      </c>
      <c r="AY97" s="151">
        <f t="shared" si="165"/>
        <v>0</v>
      </c>
      <c r="AZ97" s="151">
        <f t="shared" si="179"/>
        <v>0</v>
      </c>
      <c r="BA97" s="207">
        <v>18</v>
      </c>
      <c r="BB97" s="207">
        <f t="shared" si="161"/>
        <v>0</v>
      </c>
      <c r="BC97" s="208">
        <f t="shared" si="184"/>
        <v>516</v>
      </c>
    </row>
    <row r="98" spans="1:55" ht="25.8" thickBot="1" x14ac:dyDescent="0.65">
      <c r="A98" s="64">
        <v>90</v>
      </c>
      <c r="B98" s="175" t="s">
        <v>90</v>
      </c>
      <c r="C98" s="176" t="s">
        <v>13</v>
      </c>
      <c r="D98" s="183">
        <v>44396</v>
      </c>
      <c r="E98" s="177">
        <v>2</v>
      </c>
      <c r="F98" s="177">
        <f t="shared" ref="F98:F99" si="205">+E98*$C$1</f>
        <v>1066.6600000000001</v>
      </c>
      <c r="G98" s="177">
        <f>+'BIENIOS DEPARTAMENTO DE SALUD'!BC98</f>
        <v>480</v>
      </c>
      <c r="H98" s="178">
        <f t="shared" ref="H98:H102" si="206">+F98+G98</f>
        <v>1546.66</v>
      </c>
      <c r="I98" s="179">
        <v>13</v>
      </c>
      <c r="J98" s="72">
        <v>13</v>
      </c>
      <c r="L98" s="180">
        <v>46587</v>
      </c>
      <c r="M98" s="181"/>
      <c r="N98" s="182" t="str">
        <f t="shared" ref="N98:N102" ca="1" si="207">IF($B$2&lt;L98,"O.K.","A L E R T A ")</f>
        <v>O.K.</v>
      </c>
      <c r="W98" s="1" t="s">
        <v>90</v>
      </c>
      <c r="X98" s="31">
        <v>0</v>
      </c>
      <c r="Y98" s="31">
        <v>0</v>
      </c>
      <c r="Z98" s="32">
        <v>0</v>
      </c>
      <c r="AA98" s="32">
        <v>0</v>
      </c>
      <c r="AB98" s="32">
        <v>0</v>
      </c>
      <c r="AC98" s="25">
        <v>0</v>
      </c>
      <c r="AD98" s="22">
        <f t="shared" ref="AD98:AD103" si="208">+AC98-AB98</f>
        <v>0</v>
      </c>
      <c r="AE98" s="43">
        <v>0</v>
      </c>
      <c r="AF98" s="43">
        <v>0</v>
      </c>
      <c r="AG98" s="32">
        <v>0</v>
      </c>
      <c r="AH98" s="12">
        <f t="shared" ref="AH98:AH103" si="209">+AD98+(AE98+AF98)-AG98</f>
        <v>0</v>
      </c>
      <c r="AI98" s="43">
        <f t="shared" si="86"/>
        <v>0</v>
      </c>
      <c r="AJ98" s="43">
        <f t="shared" si="86"/>
        <v>0</v>
      </c>
      <c r="AK98" s="32">
        <v>0</v>
      </c>
      <c r="AL98" s="55">
        <f t="shared" ref="AL98:AL103" si="210">+AH98+AI98+AJ98-AK98</f>
        <v>0</v>
      </c>
      <c r="AM98" s="43">
        <f t="shared" si="20"/>
        <v>0</v>
      </c>
      <c r="AN98" s="43">
        <f>+(0)+(153.6)+(0)+(0)+(205.8)+(0)</f>
        <v>359.4</v>
      </c>
      <c r="AO98" s="59">
        <v>120</v>
      </c>
      <c r="AP98" s="62">
        <f t="shared" si="37"/>
        <v>239.39999999999998</v>
      </c>
      <c r="AQ98" s="65">
        <f>+(0)+(0)+(0)+(0)+(54)+(31.2)</f>
        <v>85.2</v>
      </c>
      <c r="AR98" s="65">
        <f t="shared" si="74"/>
        <v>0</v>
      </c>
      <c r="AS98" s="118">
        <v>120</v>
      </c>
      <c r="AT98" s="62">
        <f t="shared" si="38"/>
        <v>204.59999999999997</v>
      </c>
      <c r="AU98" s="25">
        <f t="shared" si="41"/>
        <v>0</v>
      </c>
      <c r="AV98" s="25">
        <f>+(0)+(0)+(204)+(0)+(0)+(0)+(30)+(0)</f>
        <v>234</v>
      </c>
      <c r="AW98" s="25">
        <v>120</v>
      </c>
      <c r="AX98" s="25">
        <f t="shared" si="76"/>
        <v>318.59999999999997</v>
      </c>
      <c r="AY98" s="151">
        <f>+(0)+(0)+(0)+(54)</f>
        <v>54</v>
      </c>
      <c r="AZ98" s="151">
        <f>+(0)+(30)+(30)+(0)+(0)+(0)+(0)+(0)</f>
        <v>60</v>
      </c>
      <c r="BA98" s="207">
        <v>120</v>
      </c>
      <c r="BB98" s="207">
        <f t="shared" si="161"/>
        <v>312.59999999999997</v>
      </c>
      <c r="BC98" s="208">
        <f t="shared" si="184"/>
        <v>480</v>
      </c>
    </row>
    <row r="99" spans="1:55" ht="25.8" thickBot="1" x14ac:dyDescent="0.65">
      <c r="A99" s="64">
        <v>91</v>
      </c>
      <c r="B99" s="175" t="s">
        <v>195</v>
      </c>
      <c r="C99" s="176" t="s">
        <v>21</v>
      </c>
      <c r="D99" s="183">
        <v>45000</v>
      </c>
      <c r="E99" s="177">
        <v>1</v>
      </c>
      <c r="F99" s="177">
        <f t="shared" si="205"/>
        <v>533.33000000000004</v>
      </c>
      <c r="G99" s="177">
        <f>+'BIENIOS DEPARTAMENTO DE SALUD'!BC99</f>
        <v>360</v>
      </c>
      <c r="H99" s="178">
        <f t="shared" si="206"/>
        <v>893.33</v>
      </c>
      <c r="I99" s="179">
        <v>14</v>
      </c>
      <c r="J99" s="72">
        <v>14</v>
      </c>
      <c r="L99" s="185">
        <v>46461</v>
      </c>
      <c r="M99" s="186"/>
      <c r="N99" s="182" t="str">
        <f t="shared" ca="1" si="207"/>
        <v>O.K.</v>
      </c>
      <c r="W99" s="1" t="s">
        <v>195</v>
      </c>
      <c r="X99" s="31">
        <v>0</v>
      </c>
      <c r="Y99" s="31">
        <v>0</v>
      </c>
      <c r="Z99" s="32">
        <v>0</v>
      </c>
      <c r="AA99" s="32">
        <v>0</v>
      </c>
      <c r="AB99" s="32">
        <v>0</v>
      </c>
      <c r="AC99" s="25">
        <v>0</v>
      </c>
      <c r="AD99" s="22">
        <f t="shared" si="208"/>
        <v>0</v>
      </c>
      <c r="AE99" s="43">
        <v>0</v>
      </c>
      <c r="AF99" s="43">
        <v>0</v>
      </c>
      <c r="AG99" s="32">
        <v>0</v>
      </c>
      <c r="AH99" s="12">
        <f t="shared" si="209"/>
        <v>0</v>
      </c>
      <c r="AI99" s="43">
        <v>0</v>
      </c>
      <c r="AJ99" s="43">
        <v>0</v>
      </c>
      <c r="AK99" s="32">
        <v>0</v>
      </c>
      <c r="AL99" s="25">
        <f t="shared" si="210"/>
        <v>0</v>
      </c>
      <c r="AM99" s="43">
        <v>0</v>
      </c>
      <c r="AN99" s="43">
        <v>0</v>
      </c>
      <c r="AO99" s="59">
        <v>0</v>
      </c>
      <c r="AP99" s="62">
        <f t="shared" si="37"/>
        <v>0</v>
      </c>
      <c r="AQ99" s="65">
        <f>+(0)+(0)+(0)+(54.6)+(30)+(0)</f>
        <v>84.6</v>
      </c>
      <c r="AR99" s="65">
        <f>+(0)+(216)+(0)+(0)+(0)+(0)</f>
        <v>216</v>
      </c>
      <c r="AS99" s="118">
        <v>120</v>
      </c>
      <c r="AT99" s="62">
        <f t="shared" si="38"/>
        <v>180.60000000000002</v>
      </c>
      <c r="AU99" s="65">
        <f>+(0)+(0)+(108)+(78)</f>
        <v>186</v>
      </c>
      <c r="AV99" s="191">
        <f>+(0)+(0)+(96)+(0)+(0)+(0)+(0)+(0)</f>
        <v>96</v>
      </c>
      <c r="AW99" s="192">
        <v>120</v>
      </c>
      <c r="AX99" s="192">
        <f t="shared" ref="AX99" si="211">(+AT99+AU99+AV99)-AW99</f>
        <v>342.6</v>
      </c>
      <c r="AY99" s="151">
        <f>+(0)+(21)+(0)+(0)</f>
        <v>21</v>
      </c>
      <c r="AZ99" s="151">
        <f>+(0)+(0)+(0)+(108)+(0)+(0)+(0)+(0)</f>
        <v>108</v>
      </c>
      <c r="BA99" s="207">
        <v>120</v>
      </c>
      <c r="BB99" s="207">
        <f t="shared" si="161"/>
        <v>351.6</v>
      </c>
      <c r="BC99" s="210">
        <f t="shared" si="184"/>
        <v>360</v>
      </c>
    </row>
    <row r="100" spans="1:55" ht="25.2" x14ac:dyDescent="0.6">
      <c r="A100" s="64">
        <v>92</v>
      </c>
      <c r="B100" s="126" t="s">
        <v>155</v>
      </c>
      <c r="C100" s="127" t="s">
        <v>15</v>
      </c>
      <c r="D100" s="128">
        <v>45231</v>
      </c>
      <c r="E100" s="130">
        <v>1</v>
      </c>
      <c r="F100" s="130">
        <f t="shared" ref="F100" si="212">+E100*$C$1</f>
        <v>533.33000000000004</v>
      </c>
      <c r="G100" s="130">
        <f>+'BIENIOS DEPARTAMENTO DE SALUD'!BC100</f>
        <v>300</v>
      </c>
      <c r="H100" s="131">
        <f t="shared" ref="H100" si="213">+F100+G100</f>
        <v>833.33</v>
      </c>
      <c r="I100" s="132">
        <v>15</v>
      </c>
      <c r="J100" s="72">
        <v>15</v>
      </c>
      <c r="L100" s="136">
        <v>46262</v>
      </c>
      <c r="M100" s="124"/>
      <c r="N100" s="125" t="str">
        <f t="shared" ca="1" si="207"/>
        <v>O.K.</v>
      </c>
      <c r="W100" s="99" t="s">
        <v>156</v>
      </c>
      <c r="X100" s="100">
        <v>0</v>
      </c>
      <c r="Y100" s="100">
        <v>0</v>
      </c>
      <c r="Z100" s="44">
        <v>0</v>
      </c>
      <c r="AA100" s="44">
        <v>0</v>
      </c>
      <c r="AB100" s="44">
        <v>0</v>
      </c>
      <c r="AC100" s="101">
        <v>0</v>
      </c>
      <c r="AD100" s="102">
        <f t="shared" si="208"/>
        <v>0</v>
      </c>
      <c r="AE100" s="103">
        <v>0</v>
      </c>
      <c r="AF100" s="103">
        <v>0</v>
      </c>
      <c r="AG100" s="44">
        <v>0</v>
      </c>
      <c r="AH100" s="104">
        <f t="shared" si="209"/>
        <v>0</v>
      </c>
      <c r="AI100" s="103">
        <v>0</v>
      </c>
      <c r="AJ100" s="103">
        <v>0</v>
      </c>
      <c r="AK100" s="44">
        <v>0</v>
      </c>
      <c r="AL100" s="105">
        <f t="shared" si="210"/>
        <v>0</v>
      </c>
      <c r="AM100" s="103">
        <v>0</v>
      </c>
      <c r="AN100" s="103">
        <v>0</v>
      </c>
      <c r="AO100" s="106">
        <v>0</v>
      </c>
      <c r="AP100" s="107">
        <f t="shared" si="37"/>
        <v>0</v>
      </c>
      <c r="AQ100" s="108">
        <v>0</v>
      </c>
      <c r="AR100" s="108">
        <v>0</v>
      </c>
      <c r="AS100" s="120">
        <v>0</v>
      </c>
      <c r="AT100" s="107">
        <f t="shared" si="38"/>
        <v>0</v>
      </c>
      <c r="AU100" s="101">
        <f t="shared" ref="AU100:AU151" si="214">+(0)+(0)+(0)+(0)</f>
        <v>0</v>
      </c>
      <c r="AV100" s="101">
        <f>+(0)+(0)+(252)+(0)+(0)+(0)+(108)+(30)</f>
        <v>390</v>
      </c>
      <c r="AW100" s="149">
        <v>150</v>
      </c>
      <c r="AX100" s="149">
        <f t="shared" ref="AX100" si="215">+AT100+AU100+AV100-AW100</f>
        <v>240</v>
      </c>
      <c r="AY100" s="158">
        <f>+(0)+(0)+(0)+(78)</f>
        <v>78</v>
      </c>
      <c r="AZ100" s="158">
        <f>+(0)+(0)+(0)+(0)+(0)+(30)+(0)+(0)</f>
        <v>30</v>
      </c>
      <c r="BA100" s="211">
        <v>150</v>
      </c>
      <c r="BB100" s="211">
        <f t="shared" si="161"/>
        <v>198</v>
      </c>
      <c r="BC100" s="212">
        <f t="shared" si="184"/>
        <v>300</v>
      </c>
    </row>
    <row r="101" spans="1:55" ht="25.8" thickBot="1" x14ac:dyDescent="0.65">
      <c r="A101" s="64">
        <v>93</v>
      </c>
      <c r="B101" s="126" t="s">
        <v>123</v>
      </c>
      <c r="C101" s="127" t="s">
        <v>18</v>
      </c>
      <c r="D101" s="128">
        <v>44835</v>
      </c>
      <c r="E101" s="129">
        <v>1</v>
      </c>
      <c r="F101" s="130">
        <f t="shared" ref="F101:F102" si="216">+E101*$C$1</f>
        <v>533.33000000000004</v>
      </c>
      <c r="G101" s="130">
        <f>+'BIENIOS DEPARTAMENTO DE SALUD'!BC101</f>
        <v>324</v>
      </c>
      <c r="H101" s="131">
        <f t="shared" si="206"/>
        <v>857.33</v>
      </c>
      <c r="I101" s="132">
        <v>14</v>
      </c>
      <c r="J101" s="72">
        <v>14</v>
      </c>
      <c r="L101" s="133">
        <v>46296</v>
      </c>
      <c r="M101" s="124"/>
      <c r="N101" s="125" t="str">
        <f t="shared" ca="1" si="207"/>
        <v>O.K.</v>
      </c>
      <c r="W101" s="99" t="s">
        <v>123</v>
      </c>
      <c r="X101" s="109">
        <v>0</v>
      </c>
      <c r="Y101" s="109">
        <v>0</v>
      </c>
      <c r="Z101" s="109">
        <v>0</v>
      </c>
      <c r="AA101" s="109">
        <v>0</v>
      </c>
      <c r="AB101" s="109">
        <v>0</v>
      </c>
      <c r="AC101" s="110">
        <v>0</v>
      </c>
      <c r="AD101" s="111">
        <f t="shared" si="208"/>
        <v>0</v>
      </c>
      <c r="AE101" s="112">
        <v>0</v>
      </c>
      <c r="AF101" s="112">
        <v>0</v>
      </c>
      <c r="AG101" s="109">
        <v>0</v>
      </c>
      <c r="AH101" s="113">
        <f t="shared" si="209"/>
        <v>0</v>
      </c>
      <c r="AI101" s="112">
        <v>0</v>
      </c>
      <c r="AJ101" s="112">
        <v>0</v>
      </c>
      <c r="AK101" s="109">
        <v>0</v>
      </c>
      <c r="AL101" s="114">
        <f t="shared" si="210"/>
        <v>0</v>
      </c>
      <c r="AM101" s="112">
        <v>0</v>
      </c>
      <c r="AN101" s="112">
        <v>0</v>
      </c>
      <c r="AO101" s="115">
        <v>0</v>
      </c>
      <c r="AP101" s="116">
        <f t="shared" si="37"/>
        <v>0</v>
      </c>
      <c r="AQ101" s="173">
        <f>+(0)+(0)+(0)+(0)+(54)+(0)</f>
        <v>54</v>
      </c>
      <c r="AR101" s="173">
        <f t="shared" si="74"/>
        <v>0</v>
      </c>
      <c r="AS101" s="121">
        <v>54</v>
      </c>
      <c r="AT101" s="116">
        <f t="shared" si="38"/>
        <v>0</v>
      </c>
      <c r="AU101" s="110">
        <f>+(0)+(0)+(0)+(78)</f>
        <v>78</v>
      </c>
      <c r="AV101" s="110">
        <f>+(96)+(0)+(96)+(0)+(0)+(0)+(0)+(0)</f>
        <v>192</v>
      </c>
      <c r="AW101" s="110">
        <v>150</v>
      </c>
      <c r="AX101" s="110">
        <f t="shared" si="76"/>
        <v>120</v>
      </c>
      <c r="AY101" s="174">
        <f t="shared" si="165"/>
        <v>0</v>
      </c>
      <c r="AZ101" s="174">
        <f t="shared" si="179"/>
        <v>0</v>
      </c>
      <c r="BA101" s="213">
        <v>120</v>
      </c>
      <c r="BB101" s="213">
        <f t="shared" si="161"/>
        <v>0</v>
      </c>
      <c r="BC101" s="208">
        <f t="shared" si="184"/>
        <v>324</v>
      </c>
    </row>
    <row r="102" spans="1:55" ht="25.8" thickBot="1" x14ac:dyDescent="0.65">
      <c r="A102" s="64">
        <v>94</v>
      </c>
      <c r="B102" s="175" t="s">
        <v>180</v>
      </c>
      <c r="C102" s="176" t="s">
        <v>15</v>
      </c>
      <c r="D102" s="183">
        <v>45628</v>
      </c>
      <c r="E102" s="187">
        <v>4</v>
      </c>
      <c r="F102" s="177">
        <f t="shared" si="216"/>
        <v>2133.3200000000002</v>
      </c>
      <c r="G102" s="177">
        <f>+'BIENIOS DEPARTAMENTO DE SALUD'!BC102</f>
        <v>3607.4</v>
      </c>
      <c r="H102" s="178">
        <f t="shared" si="206"/>
        <v>5740.72</v>
      </c>
      <c r="I102" s="179">
        <v>9</v>
      </c>
      <c r="J102" s="72">
        <v>8</v>
      </c>
      <c r="K102" s="157"/>
      <c r="L102" s="184">
        <v>46410</v>
      </c>
      <c r="M102" s="181"/>
      <c r="N102" s="182" t="str">
        <f t="shared" ca="1" si="207"/>
        <v>O.K.</v>
      </c>
      <c r="W102" s="99" t="s">
        <v>180</v>
      </c>
      <c r="X102" s="189">
        <v>3529.4</v>
      </c>
      <c r="Y102" s="109"/>
      <c r="Z102" s="109"/>
      <c r="AA102" s="109"/>
      <c r="AB102" s="109"/>
      <c r="AC102" s="110"/>
      <c r="AD102" s="111"/>
      <c r="AE102" s="112"/>
      <c r="AF102" s="112"/>
      <c r="AG102" s="109"/>
      <c r="AH102" s="113"/>
      <c r="AI102" s="112"/>
      <c r="AJ102" s="112"/>
      <c r="AK102" s="109"/>
      <c r="AL102" s="114"/>
      <c r="AM102" s="112"/>
      <c r="AN102" s="112"/>
      <c r="AO102" s="115"/>
      <c r="AP102" s="116"/>
      <c r="AQ102" s="173"/>
      <c r="AR102" s="173"/>
      <c r="AS102" s="121"/>
      <c r="AT102" s="116"/>
      <c r="AU102" s="110"/>
      <c r="AV102" s="110"/>
      <c r="AW102" s="110"/>
      <c r="AX102" s="110"/>
      <c r="AY102" s="151">
        <f t="shared" si="165"/>
        <v>0</v>
      </c>
      <c r="AZ102" s="151">
        <f>+(0)+(0)+(78)+(0)+(0)+(0)+(0)+(0)</f>
        <v>78</v>
      </c>
      <c r="BA102" s="207">
        <v>78</v>
      </c>
      <c r="BB102" s="207">
        <f t="shared" ref="BB102" si="217">(AX102+AY102+AZ102)-BA102</f>
        <v>0</v>
      </c>
      <c r="BC102" s="208">
        <f t="shared" ref="BC102" si="218">SUM(X102:AA102)+AB102+AG102+AK102+AO102+AS102+AW102+BA102</f>
        <v>3607.4</v>
      </c>
    </row>
    <row r="103" spans="1:55" ht="25.8" thickBot="1" x14ac:dyDescent="0.65">
      <c r="A103" s="64">
        <v>95</v>
      </c>
      <c r="B103" s="126" t="s">
        <v>140</v>
      </c>
      <c r="C103" s="127" t="s">
        <v>26</v>
      </c>
      <c r="D103" s="128">
        <v>45084</v>
      </c>
      <c r="E103" s="129">
        <v>4</v>
      </c>
      <c r="F103" s="130">
        <f t="shared" ref="F103" si="219">+E103*$C$1</f>
        <v>2133.3200000000002</v>
      </c>
      <c r="G103" s="130">
        <f>+'BIENIOS DEPARTAMENTO DE SALUD'!BC103</f>
        <v>943.19999999999993</v>
      </c>
      <c r="H103" s="131">
        <f t="shared" ref="H103" si="220">+F103+G103</f>
        <v>3076.52</v>
      </c>
      <c r="I103" s="132">
        <v>11</v>
      </c>
      <c r="J103" s="72">
        <v>11</v>
      </c>
      <c r="L103" s="133">
        <v>46053</v>
      </c>
      <c r="M103" s="124"/>
      <c r="N103" s="125" t="str">
        <f t="shared" ref="N103" ca="1" si="221">IF($B$2&lt;L103,"O.K.","A L E R T A ")</f>
        <v>O.K.</v>
      </c>
      <c r="W103" s="1" t="s">
        <v>140</v>
      </c>
      <c r="X103" s="159">
        <v>707.4</v>
      </c>
      <c r="Y103" s="160">
        <v>0</v>
      </c>
      <c r="Z103" s="160">
        <v>0</v>
      </c>
      <c r="AA103" s="160">
        <v>0</v>
      </c>
      <c r="AB103" s="160">
        <v>0</v>
      </c>
      <c r="AC103" s="161">
        <v>0</v>
      </c>
      <c r="AD103" s="162">
        <f t="shared" si="208"/>
        <v>0</v>
      </c>
      <c r="AE103" s="163">
        <v>0</v>
      </c>
      <c r="AF103" s="163">
        <v>0</v>
      </c>
      <c r="AG103" s="160">
        <v>0</v>
      </c>
      <c r="AH103" s="164">
        <f t="shared" si="209"/>
        <v>0</v>
      </c>
      <c r="AI103" s="163">
        <v>0</v>
      </c>
      <c r="AJ103" s="163">
        <v>0</v>
      </c>
      <c r="AK103" s="160">
        <v>0</v>
      </c>
      <c r="AL103" s="165">
        <f t="shared" si="210"/>
        <v>0</v>
      </c>
      <c r="AM103" s="163">
        <v>0</v>
      </c>
      <c r="AN103" s="163">
        <v>0</v>
      </c>
      <c r="AO103" s="166">
        <v>0</v>
      </c>
      <c r="AP103" s="167">
        <f t="shared" si="37"/>
        <v>0</v>
      </c>
      <c r="AQ103" s="168">
        <f t="shared" si="74"/>
        <v>0</v>
      </c>
      <c r="AR103" s="168">
        <f>+(0)+(120)+(0)+(0)+(0)+(0)</f>
        <v>120</v>
      </c>
      <c r="AS103" s="169">
        <v>120</v>
      </c>
      <c r="AT103" s="167">
        <f t="shared" si="38"/>
        <v>0</v>
      </c>
      <c r="AU103" s="170">
        <f>+(0)+(0)+(0)+(78)</f>
        <v>78</v>
      </c>
      <c r="AV103" s="170">
        <f>+(0)+(0)+(0)+(0)+(0)+(0)+(0)+(37.8)</f>
        <v>37.799999999999997</v>
      </c>
      <c r="AW103" s="171">
        <v>115.8</v>
      </c>
      <c r="AX103" s="171">
        <f t="shared" si="76"/>
        <v>0</v>
      </c>
      <c r="AY103" s="172">
        <f t="shared" si="165"/>
        <v>0</v>
      </c>
      <c r="AZ103" s="172">
        <f t="shared" si="179"/>
        <v>0</v>
      </c>
      <c r="BA103" s="214">
        <v>0</v>
      </c>
      <c r="BB103" s="214">
        <f t="shared" si="161"/>
        <v>0</v>
      </c>
      <c r="BC103" s="215">
        <f t="shared" si="184"/>
        <v>943.19999999999993</v>
      </c>
    </row>
    <row r="105" spans="1:55" ht="15" x14ac:dyDescent="0.35">
      <c r="K105" s="144" t="s">
        <v>70</v>
      </c>
    </row>
    <row r="107" spans="1:55" x14ac:dyDescent="0.3">
      <c r="K107" s="206" t="s">
        <v>77</v>
      </c>
    </row>
    <row r="109" spans="1:55" ht="21" x14ac:dyDescent="0.4">
      <c r="B109" s="17" t="s">
        <v>47</v>
      </c>
    </row>
    <row r="111" spans="1:55" ht="15" thickBot="1" x14ac:dyDescent="0.35"/>
    <row r="112" spans="1:55" ht="22.2" thickBot="1" x14ac:dyDescent="0.5">
      <c r="B112" s="1" t="s">
        <v>17</v>
      </c>
      <c r="C112" s="3" t="s">
        <v>18</v>
      </c>
      <c r="D112" s="2">
        <v>42493</v>
      </c>
      <c r="E112" s="4">
        <v>0</v>
      </c>
      <c r="F112" s="4">
        <f t="shared" ref="F112:F117" si="222">+E112*$C$1</f>
        <v>0</v>
      </c>
      <c r="G112" s="4">
        <f t="shared" ref="G112:G118" si="223">+BC112</f>
        <v>0</v>
      </c>
      <c r="H112" s="35">
        <f t="shared" ref="H112:H118" si="224">+F112+G112</f>
        <v>0</v>
      </c>
      <c r="I112" s="5">
        <v>15</v>
      </c>
      <c r="J112" s="70"/>
      <c r="K112" s="6"/>
      <c r="L112" s="38">
        <v>43223</v>
      </c>
      <c r="M112" s="36"/>
      <c r="N112" s="48" t="s">
        <v>73</v>
      </c>
      <c r="W112" s="10" t="s">
        <v>17</v>
      </c>
      <c r="X112" s="11">
        <v>0</v>
      </c>
      <c r="Y112" s="11">
        <v>0</v>
      </c>
      <c r="Z112" s="12">
        <v>0</v>
      </c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53"/>
      <c r="AZ112" s="153"/>
      <c r="BA112" s="153"/>
      <c r="BB112" s="153"/>
      <c r="BC112" s="14"/>
    </row>
    <row r="113" spans="2:55" ht="22.2" thickBot="1" x14ac:dyDescent="0.5">
      <c r="B113" s="1" t="s">
        <v>20</v>
      </c>
      <c r="C113" s="3" t="s">
        <v>21</v>
      </c>
      <c r="D113" s="2">
        <v>42500</v>
      </c>
      <c r="E113" s="4">
        <v>0</v>
      </c>
      <c r="F113" s="4">
        <f t="shared" si="222"/>
        <v>0</v>
      </c>
      <c r="G113" s="4">
        <f t="shared" si="223"/>
        <v>0</v>
      </c>
      <c r="H113" s="35">
        <f t="shared" si="224"/>
        <v>0</v>
      </c>
      <c r="I113" s="5">
        <v>15</v>
      </c>
      <c r="J113" s="70"/>
      <c r="K113" s="6"/>
      <c r="L113" s="38">
        <v>43230</v>
      </c>
      <c r="M113" s="36"/>
      <c r="N113" s="48" t="s">
        <v>73</v>
      </c>
      <c r="W113" s="10" t="s">
        <v>20</v>
      </c>
      <c r="X113" s="11">
        <v>0</v>
      </c>
      <c r="Y113" s="11"/>
      <c r="Z113" s="12">
        <v>0</v>
      </c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53"/>
      <c r="AZ113" s="153"/>
      <c r="BA113" s="153"/>
      <c r="BB113" s="153"/>
      <c r="BC113" s="14"/>
    </row>
    <row r="114" spans="2:55" ht="22.2" thickBot="1" x14ac:dyDescent="0.5">
      <c r="B114" s="7" t="s">
        <v>28</v>
      </c>
      <c r="C114" s="3" t="s">
        <v>13</v>
      </c>
      <c r="D114" s="8">
        <v>41858</v>
      </c>
      <c r="E114" s="4">
        <v>1</v>
      </c>
      <c r="F114" s="4">
        <f t="shared" si="222"/>
        <v>533.33000000000004</v>
      </c>
      <c r="G114" s="4">
        <f t="shared" si="223"/>
        <v>0</v>
      </c>
      <c r="H114" s="35">
        <f t="shared" si="224"/>
        <v>533.33000000000004</v>
      </c>
      <c r="I114" s="5">
        <v>14</v>
      </c>
      <c r="J114" s="70"/>
      <c r="K114" s="6"/>
      <c r="L114" s="38">
        <v>43318</v>
      </c>
      <c r="M114" s="36"/>
      <c r="N114" s="48" t="s">
        <v>73</v>
      </c>
      <c r="W114" s="13" t="s">
        <v>28</v>
      </c>
      <c r="X114" s="11">
        <v>120</v>
      </c>
      <c r="Y114" s="11">
        <v>96</v>
      </c>
      <c r="Z114" s="12">
        <v>96</v>
      </c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53"/>
      <c r="AZ114" s="153"/>
      <c r="BA114" s="153"/>
      <c r="BB114" s="153"/>
      <c r="BC114" s="14"/>
    </row>
    <row r="115" spans="2:55" ht="22.2" thickBot="1" x14ac:dyDescent="0.5">
      <c r="B115" s="7" t="s">
        <v>31</v>
      </c>
      <c r="C115" s="3" t="s">
        <v>26</v>
      </c>
      <c r="D115" s="8">
        <v>41613</v>
      </c>
      <c r="E115" s="4">
        <v>3</v>
      </c>
      <c r="F115" s="4">
        <f t="shared" si="222"/>
        <v>1599.9900000000002</v>
      </c>
      <c r="G115" s="4">
        <f t="shared" si="223"/>
        <v>0</v>
      </c>
      <c r="H115" s="35">
        <f t="shared" si="224"/>
        <v>1599.9900000000002</v>
      </c>
      <c r="I115" s="5">
        <v>13</v>
      </c>
      <c r="J115" s="70"/>
      <c r="K115" s="6"/>
      <c r="L115" s="38">
        <v>43159</v>
      </c>
      <c r="M115" s="36"/>
      <c r="N115" s="48" t="s">
        <v>73</v>
      </c>
      <c r="W115" s="13" t="s">
        <v>31</v>
      </c>
      <c r="X115" s="11">
        <v>579</v>
      </c>
      <c r="Y115" s="11">
        <v>96</v>
      </c>
      <c r="Z115" s="12">
        <v>0</v>
      </c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53"/>
      <c r="AZ115" s="153"/>
      <c r="BA115" s="153"/>
      <c r="BB115" s="153"/>
      <c r="BC115" s="14"/>
    </row>
    <row r="116" spans="2:55" ht="22.2" thickBot="1" x14ac:dyDescent="0.5">
      <c r="B116" s="7" t="s">
        <v>43</v>
      </c>
      <c r="C116" s="3" t="s">
        <v>26</v>
      </c>
      <c r="D116" s="2">
        <v>42569</v>
      </c>
      <c r="E116" s="4">
        <v>0</v>
      </c>
      <c r="F116" s="4">
        <f t="shared" si="222"/>
        <v>0</v>
      </c>
      <c r="G116" s="4">
        <f t="shared" si="223"/>
        <v>0</v>
      </c>
      <c r="H116" s="35">
        <f t="shared" si="224"/>
        <v>0</v>
      </c>
      <c r="I116" s="5">
        <v>15</v>
      </c>
      <c r="J116" s="70"/>
      <c r="K116" s="6"/>
      <c r="L116" s="38">
        <v>43299</v>
      </c>
      <c r="M116" s="36"/>
      <c r="N116" s="48" t="s">
        <v>73</v>
      </c>
      <c r="W116" s="13" t="s">
        <v>43</v>
      </c>
      <c r="X116" s="11">
        <v>0</v>
      </c>
      <c r="Y116" s="11">
        <v>96</v>
      </c>
      <c r="Z116" s="12">
        <v>96</v>
      </c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53"/>
      <c r="AZ116" s="153"/>
      <c r="BA116" s="153"/>
      <c r="BB116" s="153"/>
      <c r="BC116" s="14"/>
    </row>
    <row r="117" spans="2:55" ht="22.2" thickBot="1" x14ac:dyDescent="0.5">
      <c r="B117" s="1" t="s">
        <v>54</v>
      </c>
      <c r="C117" s="3" t="s">
        <v>13</v>
      </c>
      <c r="D117" s="2"/>
      <c r="E117" s="4">
        <v>0</v>
      </c>
      <c r="F117" s="4">
        <f t="shared" si="222"/>
        <v>0</v>
      </c>
      <c r="G117" s="4">
        <f t="shared" si="223"/>
        <v>0</v>
      </c>
      <c r="H117" s="35">
        <f t="shared" si="224"/>
        <v>0</v>
      </c>
      <c r="I117" s="5">
        <v>15</v>
      </c>
      <c r="J117" s="70"/>
      <c r="K117" s="6"/>
      <c r="L117" s="38"/>
      <c r="M117" s="36"/>
      <c r="N117" s="48" t="s">
        <v>73</v>
      </c>
      <c r="W117" s="10" t="s">
        <v>54</v>
      </c>
      <c r="X117" s="11">
        <v>0</v>
      </c>
      <c r="Y117" s="11">
        <v>0</v>
      </c>
      <c r="Z117" s="12">
        <v>0</v>
      </c>
      <c r="AA117" s="12">
        <v>96</v>
      </c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53"/>
      <c r="AZ117" s="153"/>
      <c r="BA117" s="153"/>
      <c r="BB117" s="153"/>
      <c r="BC117" s="14"/>
    </row>
    <row r="118" spans="2:55" ht="22.2" thickBot="1" x14ac:dyDescent="0.5">
      <c r="B118" s="1" t="s">
        <v>68</v>
      </c>
      <c r="C118" s="3" t="s">
        <v>15</v>
      </c>
      <c r="D118" s="2"/>
      <c r="E118" s="4">
        <v>0</v>
      </c>
      <c r="F118" s="4">
        <f t="shared" ref="F118" si="225">+E118*$C$1</f>
        <v>0</v>
      </c>
      <c r="G118" s="4">
        <f t="shared" si="223"/>
        <v>0</v>
      </c>
      <c r="H118" s="35">
        <f t="shared" si="224"/>
        <v>0</v>
      </c>
      <c r="I118" s="5"/>
      <c r="J118" s="70"/>
      <c r="K118" s="46" t="s">
        <v>69</v>
      </c>
      <c r="L118" s="38"/>
      <c r="M118" s="36"/>
      <c r="N118" s="48" t="s">
        <v>73</v>
      </c>
      <c r="W118" s="1" t="s">
        <v>68</v>
      </c>
      <c r="X118" s="31">
        <v>0</v>
      </c>
      <c r="Y118" s="31">
        <v>0</v>
      </c>
      <c r="Z118" s="32">
        <v>0</v>
      </c>
      <c r="AA118" s="32">
        <v>0</v>
      </c>
      <c r="AB118" s="32">
        <v>0</v>
      </c>
      <c r="AC118" s="25">
        <v>0</v>
      </c>
      <c r="AD118" s="22">
        <f t="shared" ref="AD118" si="226">+AC118-AB118</f>
        <v>0</v>
      </c>
      <c r="AE118" s="43"/>
      <c r="AF118" s="43"/>
      <c r="AG118" s="32"/>
      <c r="AH118" s="22">
        <f t="shared" ref="AH118" si="227">(+AD118+AE118)-AG118</f>
        <v>0</v>
      </c>
      <c r="AI118" s="43"/>
      <c r="AJ118" s="43"/>
      <c r="AK118" s="32"/>
      <c r="AL118" s="22"/>
      <c r="AM118" s="43"/>
      <c r="AN118" s="43"/>
      <c r="AO118" s="32"/>
      <c r="AP118" s="22"/>
      <c r="AQ118" s="22"/>
      <c r="AR118" s="22"/>
      <c r="AS118" s="22"/>
      <c r="AT118" s="22"/>
      <c r="AU118" s="22"/>
      <c r="AV118" s="22"/>
      <c r="AW118" s="12"/>
      <c r="AX118" s="12"/>
      <c r="AY118" s="153"/>
      <c r="AZ118" s="153"/>
      <c r="BA118" s="153"/>
      <c r="BB118" s="153"/>
      <c r="BC118" s="14"/>
    </row>
    <row r="119" spans="2:55" ht="22.2" thickBot="1" x14ac:dyDescent="0.5">
      <c r="B119" s="1" t="s">
        <v>32</v>
      </c>
      <c r="C119" s="3" t="s">
        <v>18</v>
      </c>
      <c r="D119" s="7" t="s">
        <v>39</v>
      </c>
      <c r="E119" s="18">
        <v>13</v>
      </c>
      <c r="F119" s="4">
        <f t="shared" ref="F119:F124" si="228">+E119*$C$1</f>
        <v>6933.2900000000009</v>
      </c>
      <c r="G119" s="4">
        <f t="shared" ref="G119:G124" si="229">+BC119</f>
        <v>0</v>
      </c>
      <c r="H119" s="35">
        <f t="shared" ref="H119:H124" si="230">+F119+G119</f>
        <v>6933.2900000000009</v>
      </c>
      <c r="I119" s="5">
        <v>5</v>
      </c>
      <c r="J119" s="70"/>
      <c r="K119" s="6"/>
      <c r="L119" s="47">
        <v>44139</v>
      </c>
      <c r="M119" s="36"/>
      <c r="N119" s="48" t="s">
        <v>73</v>
      </c>
      <c r="W119" s="1" t="s">
        <v>32</v>
      </c>
      <c r="X119" s="31">
        <v>1234.6500000000001</v>
      </c>
      <c r="Y119" s="31">
        <v>96</v>
      </c>
      <c r="Z119" s="32">
        <v>96</v>
      </c>
      <c r="AA119" s="32">
        <v>96</v>
      </c>
      <c r="AB119" s="32">
        <v>0</v>
      </c>
      <c r="AC119" s="25">
        <v>0</v>
      </c>
      <c r="AD119" s="22">
        <f t="shared" ref="AD119:AD124" si="231">+AC119-AB119</f>
        <v>0</v>
      </c>
      <c r="AE119" s="43">
        <v>0</v>
      </c>
      <c r="AF119" s="43"/>
      <c r="AG119" s="32">
        <v>0</v>
      </c>
      <c r="AH119" s="22">
        <f>(+AD119+AE119)-AG119</f>
        <v>0</v>
      </c>
      <c r="AI119" s="43"/>
      <c r="AJ119" s="43"/>
      <c r="AK119" s="32"/>
      <c r="AL119" s="22"/>
      <c r="AM119" s="43"/>
      <c r="AN119" s="43"/>
      <c r="AO119" s="32"/>
      <c r="AP119" s="22"/>
      <c r="AQ119" s="22"/>
      <c r="AR119" s="22"/>
      <c r="AS119" s="22"/>
      <c r="AT119" s="22"/>
      <c r="AU119" s="22"/>
      <c r="AV119" s="22"/>
      <c r="AW119" s="12"/>
      <c r="AX119" s="12"/>
      <c r="AY119" s="153"/>
      <c r="AZ119" s="153"/>
      <c r="BA119" s="153"/>
      <c r="BB119" s="153"/>
      <c r="BC119" s="14"/>
    </row>
    <row r="120" spans="2:55" ht="22.2" thickBot="1" x14ac:dyDescent="0.5">
      <c r="B120" s="1" t="s">
        <v>55</v>
      </c>
      <c r="C120" s="3" t="s">
        <v>18</v>
      </c>
      <c r="D120" s="8">
        <v>43009</v>
      </c>
      <c r="E120" s="18">
        <v>5</v>
      </c>
      <c r="F120" s="4">
        <f t="shared" si="228"/>
        <v>2666.65</v>
      </c>
      <c r="G120" s="4">
        <f t="shared" si="229"/>
        <v>0</v>
      </c>
      <c r="H120" s="35">
        <f t="shared" si="230"/>
        <v>2666.65</v>
      </c>
      <c r="I120" s="5">
        <v>12</v>
      </c>
      <c r="J120" s="70"/>
      <c r="K120" s="6"/>
      <c r="L120" s="47">
        <v>44470</v>
      </c>
      <c r="M120" s="36"/>
      <c r="N120" s="48" t="s">
        <v>73</v>
      </c>
      <c r="W120" s="1" t="s">
        <v>55</v>
      </c>
      <c r="X120" s="31">
        <v>174</v>
      </c>
      <c r="Y120" s="31">
        <v>0</v>
      </c>
      <c r="Z120" s="32">
        <v>0</v>
      </c>
      <c r="AA120" s="32">
        <v>0</v>
      </c>
      <c r="AB120" s="32">
        <v>0</v>
      </c>
      <c r="AC120" s="25">
        <v>0</v>
      </c>
      <c r="AD120" s="22">
        <f t="shared" si="231"/>
        <v>0</v>
      </c>
      <c r="AE120" s="43">
        <v>0</v>
      </c>
      <c r="AF120" s="43"/>
      <c r="AG120" s="32">
        <v>0</v>
      </c>
      <c r="AH120" s="22">
        <f>(+AD120+AE120)-AG120</f>
        <v>0</v>
      </c>
      <c r="AI120" s="43"/>
      <c r="AJ120" s="43"/>
      <c r="AK120" s="32"/>
      <c r="AL120" s="22"/>
      <c r="AM120" s="43"/>
      <c r="AN120" s="43"/>
      <c r="AO120" s="32"/>
      <c r="AP120" s="22"/>
      <c r="AQ120" s="22"/>
      <c r="AR120" s="22"/>
      <c r="AS120" s="22"/>
      <c r="AT120" s="22"/>
      <c r="AU120" s="22"/>
      <c r="AV120" s="22"/>
      <c r="AW120" s="12"/>
      <c r="AX120" s="12"/>
      <c r="AY120" s="153"/>
      <c r="AZ120" s="153"/>
      <c r="BA120" s="153"/>
      <c r="BB120" s="153"/>
      <c r="BC120" s="14"/>
    </row>
    <row r="121" spans="2:55" ht="22.2" thickBot="1" x14ac:dyDescent="0.5">
      <c r="B121" s="1" t="s">
        <v>63</v>
      </c>
      <c r="C121" s="3" t="s">
        <v>13</v>
      </c>
      <c r="D121" s="1" t="s">
        <v>14</v>
      </c>
      <c r="E121" s="18">
        <v>15</v>
      </c>
      <c r="F121" s="4">
        <f t="shared" si="228"/>
        <v>7999.9500000000007</v>
      </c>
      <c r="G121" s="4">
        <f t="shared" si="229"/>
        <v>0</v>
      </c>
      <c r="H121" s="35">
        <f t="shared" si="230"/>
        <v>7999.9500000000007</v>
      </c>
      <c r="I121" s="5">
        <v>1</v>
      </c>
      <c r="J121" s="70"/>
      <c r="K121" s="6"/>
      <c r="L121" s="37"/>
      <c r="M121" s="36"/>
      <c r="N121" s="48" t="s">
        <v>73</v>
      </c>
      <c r="W121" s="1" t="s">
        <v>63</v>
      </c>
      <c r="X121" s="33">
        <v>3462.5</v>
      </c>
      <c r="Y121" s="31">
        <v>96</v>
      </c>
      <c r="Z121" s="32">
        <v>0</v>
      </c>
      <c r="AA121" s="32">
        <v>0</v>
      </c>
      <c r="AB121" s="32">
        <v>0</v>
      </c>
      <c r="AC121" s="25">
        <v>0</v>
      </c>
      <c r="AD121" s="22">
        <f t="shared" si="231"/>
        <v>0</v>
      </c>
      <c r="AE121" s="43">
        <v>0</v>
      </c>
      <c r="AF121" s="43"/>
      <c r="AG121" s="32">
        <v>0</v>
      </c>
      <c r="AH121" s="22">
        <f>(+AD121+AE121)-AG121</f>
        <v>0</v>
      </c>
      <c r="AI121" s="43"/>
      <c r="AJ121" s="43"/>
      <c r="AK121" s="32"/>
      <c r="AL121" s="22"/>
      <c r="AM121" s="43"/>
      <c r="AN121" s="43"/>
      <c r="AO121" s="32"/>
      <c r="AP121" s="22"/>
      <c r="AQ121" s="22"/>
      <c r="AR121" s="22"/>
      <c r="AS121" s="22"/>
      <c r="AT121" s="22"/>
      <c r="AU121" s="22"/>
      <c r="AV121" s="22"/>
      <c r="AW121" s="12"/>
      <c r="AX121" s="23"/>
      <c r="AY121" s="23"/>
      <c r="AZ121" s="23"/>
      <c r="BA121" s="23"/>
      <c r="BB121" s="23"/>
      <c r="BC121" s="14"/>
    </row>
    <row r="122" spans="2:55" ht="22.2" thickBot="1" x14ac:dyDescent="0.5">
      <c r="B122" s="1" t="s">
        <v>27</v>
      </c>
      <c r="C122" s="3" t="s">
        <v>15</v>
      </c>
      <c r="D122" s="1" t="s">
        <v>38</v>
      </c>
      <c r="E122" s="4">
        <v>7</v>
      </c>
      <c r="F122" s="4">
        <f t="shared" si="228"/>
        <v>3733.3100000000004</v>
      </c>
      <c r="G122" s="4">
        <f t="shared" si="229"/>
        <v>0</v>
      </c>
      <c r="H122" s="35">
        <f t="shared" si="230"/>
        <v>3733.3100000000004</v>
      </c>
      <c r="I122" s="5">
        <v>9</v>
      </c>
      <c r="J122" s="70"/>
      <c r="K122" s="6"/>
      <c r="L122" s="38">
        <v>44593</v>
      </c>
      <c r="M122" s="36"/>
      <c r="N122" s="48" t="s">
        <v>73</v>
      </c>
      <c r="W122" s="7" t="s">
        <v>27</v>
      </c>
      <c r="X122" s="31">
        <v>1050</v>
      </c>
      <c r="Y122" s="31">
        <v>150</v>
      </c>
      <c r="Z122" s="32">
        <v>150</v>
      </c>
      <c r="AA122" s="32">
        <v>150</v>
      </c>
      <c r="AB122" s="32">
        <v>78</v>
      </c>
      <c r="AC122" s="25">
        <v>78</v>
      </c>
      <c r="AD122" s="22">
        <f t="shared" si="231"/>
        <v>0</v>
      </c>
      <c r="AE122" s="43">
        <v>0</v>
      </c>
      <c r="AF122" s="43"/>
      <c r="AG122" s="32">
        <v>0</v>
      </c>
      <c r="AH122" s="22">
        <f>(+AD122+AE122)-AG122</f>
        <v>0</v>
      </c>
      <c r="AI122" s="43"/>
      <c r="AJ122" s="43"/>
      <c r="AK122" s="32"/>
      <c r="AL122" s="22"/>
      <c r="AM122" s="43"/>
      <c r="AN122" s="43"/>
      <c r="AO122" s="32"/>
      <c r="AP122" s="22"/>
      <c r="AQ122" s="22"/>
      <c r="AR122" s="22"/>
      <c r="AS122" s="22"/>
      <c r="AT122" s="22"/>
      <c r="AU122" s="22"/>
      <c r="AV122" s="22"/>
      <c r="AW122" s="12"/>
      <c r="AX122" s="12"/>
      <c r="AY122" s="153"/>
      <c r="AZ122" s="153"/>
      <c r="BA122" s="153"/>
      <c r="BB122" s="153"/>
      <c r="BC122" s="14"/>
    </row>
    <row r="123" spans="2:55" ht="22.2" thickBot="1" x14ac:dyDescent="0.5">
      <c r="B123" s="1" t="s">
        <v>44</v>
      </c>
      <c r="C123" s="3" t="s">
        <v>15</v>
      </c>
      <c r="D123" s="2">
        <v>42675</v>
      </c>
      <c r="E123" s="4">
        <v>2</v>
      </c>
      <c r="F123" s="4">
        <f t="shared" si="228"/>
        <v>1066.6600000000001</v>
      </c>
      <c r="G123" s="4">
        <f t="shared" si="229"/>
        <v>0</v>
      </c>
      <c r="H123" s="35">
        <f t="shared" si="230"/>
        <v>1066.6600000000001</v>
      </c>
      <c r="I123" s="5">
        <v>14</v>
      </c>
      <c r="J123" s="70"/>
      <c r="K123" s="6"/>
      <c r="L123" s="38">
        <v>44866</v>
      </c>
      <c r="M123" s="36"/>
      <c r="N123" s="48" t="s">
        <v>73</v>
      </c>
      <c r="W123" s="1" t="s">
        <v>44</v>
      </c>
      <c r="X123" s="31">
        <v>0</v>
      </c>
      <c r="Y123" s="31">
        <v>0</v>
      </c>
      <c r="Z123" s="32">
        <v>96</v>
      </c>
      <c r="AA123" s="32">
        <v>96</v>
      </c>
      <c r="AB123" s="32">
        <v>0</v>
      </c>
      <c r="AC123" s="25">
        <v>0</v>
      </c>
      <c r="AD123" s="22">
        <f t="shared" si="231"/>
        <v>0</v>
      </c>
      <c r="AE123" s="43">
        <v>0</v>
      </c>
      <c r="AF123" s="43">
        <f>+(0)+(0)+(0)+(0)+(54)+(54)</f>
        <v>108</v>
      </c>
      <c r="AG123" s="32">
        <v>108</v>
      </c>
      <c r="AH123" s="51">
        <f>+AD123+(AE123+AF123)-AG123</f>
        <v>0</v>
      </c>
      <c r="AI123" s="43"/>
      <c r="AJ123" s="43"/>
      <c r="AK123" s="32"/>
      <c r="AL123" s="22"/>
      <c r="AM123" s="43"/>
      <c r="AN123" s="43"/>
      <c r="AO123" s="32"/>
      <c r="AP123" s="22"/>
      <c r="AQ123" s="22"/>
      <c r="AR123" s="22"/>
      <c r="AS123" s="22"/>
      <c r="AT123" s="22"/>
      <c r="AU123" s="22"/>
      <c r="AV123" s="22"/>
      <c r="AW123" s="12"/>
      <c r="AX123" s="12"/>
      <c r="AY123" s="153"/>
      <c r="AZ123" s="153"/>
      <c r="BA123" s="153"/>
      <c r="BB123" s="153"/>
      <c r="BC123" s="14"/>
    </row>
    <row r="124" spans="2:55" ht="22.2" thickBot="1" x14ac:dyDescent="0.5">
      <c r="B124" s="1" t="s">
        <v>76</v>
      </c>
      <c r="C124" s="3" t="s">
        <v>13</v>
      </c>
      <c r="D124" s="8">
        <v>44044</v>
      </c>
      <c r="E124" s="4">
        <v>0</v>
      </c>
      <c r="F124" s="4">
        <f t="shared" si="228"/>
        <v>0</v>
      </c>
      <c r="G124" s="4">
        <f t="shared" si="229"/>
        <v>0</v>
      </c>
      <c r="H124" s="35">
        <f t="shared" si="230"/>
        <v>0</v>
      </c>
      <c r="I124" s="5">
        <v>15</v>
      </c>
      <c r="J124" s="70"/>
      <c r="K124" s="6"/>
      <c r="L124" s="38">
        <v>44774</v>
      </c>
      <c r="M124" s="36"/>
      <c r="N124" s="48" t="s">
        <v>73</v>
      </c>
      <c r="W124" s="1" t="s">
        <v>76</v>
      </c>
      <c r="X124" s="31">
        <v>0</v>
      </c>
      <c r="Y124" s="31">
        <v>0</v>
      </c>
      <c r="Z124" s="32">
        <v>0</v>
      </c>
      <c r="AA124" s="32">
        <v>0</v>
      </c>
      <c r="AB124" s="32">
        <v>0</v>
      </c>
      <c r="AC124" s="25">
        <v>0</v>
      </c>
      <c r="AD124" s="22">
        <f t="shared" si="231"/>
        <v>0</v>
      </c>
      <c r="AE124" s="43">
        <v>0</v>
      </c>
      <c r="AF124" s="43">
        <f>+(0)+(0)+(0)+(0)+(54)+(54)</f>
        <v>108</v>
      </c>
      <c r="AG124" s="32">
        <v>108</v>
      </c>
      <c r="AH124" s="12">
        <f>+AD124+(AE124+AF124)-AG124</f>
        <v>0</v>
      </c>
      <c r="AI124" s="43">
        <f t="shared" si="86"/>
        <v>0</v>
      </c>
      <c r="AJ124" s="43">
        <f t="shared" si="86"/>
        <v>0</v>
      </c>
      <c r="AK124" s="32">
        <v>0</v>
      </c>
      <c r="AL124" s="51">
        <f>+AH124+AI124+AJ124-AK124</f>
        <v>0</v>
      </c>
      <c r="AM124" s="43"/>
      <c r="AN124" s="43"/>
      <c r="AO124" s="32"/>
      <c r="AP124" s="22"/>
      <c r="AQ124" s="22"/>
      <c r="AR124" s="22"/>
      <c r="AS124" s="22"/>
      <c r="AT124" s="22"/>
      <c r="AU124" s="22"/>
      <c r="AV124" s="22"/>
      <c r="AW124" s="12"/>
      <c r="AX124" s="12"/>
      <c r="AY124" s="153"/>
      <c r="AZ124" s="153"/>
      <c r="BA124" s="153"/>
      <c r="BB124" s="153"/>
      <c r="BC124" s="14"/>
    </row>
    <row r="125" spans="2:55" ht="22.2" thickBot="1" x14ac:dyDescent="0.5">
      <c r="B125" s="1" t="s">
        <v>82</v>
      </c>
      <c r="C125" s="3" t="s">
        <v>26</v>
      </c>
      <c r="D125" s="2">
        <v>44228</v>
      </c>
      <c r="E125" s="4">
        <v>0</v>
      </c>
      <c r="F125" s="4">
        <f>+E125*$C$1</f>
        <v>0</v>
      </c>
      <c r="G125" s="4">
        <f>+BC125</f>
        <v>0</v>
      </c>
      <c r="H125" s="35">
        <f>+F125+G125</f>
        <v>0</v>
      </c>
      <c r="I125" s="5">
        <v>15</v>
      </c>
      <c r="J125" s="70"/>
      <c r="K125" s="6"/>
      <c r="L125" s="38">
        <v>44958</v>
      </c>
      <c r="M125" s="36"/>
      <c r="N125" s="48" t="s">
        <v>73</v>
      </c>
      <c r="W125" s="1" t="s">
        <v>82</v>
      </c>
      <c r="X125" s="31">
        <v>0</v>
      </c>
      <c r="Y125" s="31">
        <v>0</v>
      </c>
      <c r="Z125" s="32">
        <v>0</v>
      </c>
      <c r="AA125" s="32">
        <v>0</v>
      </c>
      <c r="AB125" s="32">
        <v>0</v>
      </c>
      <c r="AC125" s="25">
        <v>0</v>
      </c>
      <c r="AD125" s="22">
        <f>+AC125-AB125</f>
        <v>0</v>
      </c>
      <c r="AE125" s="43">
        <v>0</v>
      </c>
      <c r="AF125" s="43">
        <v>0</v>
      </c>
      <c r="AG125" s="32">
        <v>0</v>
      </c>
      <c r="AH125" s="12">
        <f>+AD125+(AE125+AF125)-AG125</f>
        <v>0</v>
      </c>
      <c r="AI125" s="43">
        <f t="shared" si="19"/>
        <v>0</v>
      </c>
      <c r="AJ125" s="43">
        <f t="shared" si="19"/>
        <v>0</v>
      </c>
      <c r="AK125" s="32">
        <v>0</v>
      </c>
      <c r="AL125" s="51">
        <f>+AH125+AI125+AJ125-AK125</f>
        <v>0</v>
      </c>
      <c r="AM125" s="43"/>
      <c r="AN125" s="43"/>
      <c r="AO125" s="32"/>
      <c r="AP125" s="22"/>
      <c r="AQ125" s="22"/>
      <c r="AR125" s="22"/>
      <c r="AS125" s="22"/>
      <c r="AT125" s="22"/>
      <c r="AU125" s="22"/>
      <c r="AV125" s="22"/>
      <c r="AW125" s="12"/>
      <c r="AX125" s="12"/>
      <c r="AY125" s="153"/>
      <c r="AZ125" s="153"/>
      <c r="BA125" s="153"/>
      <c r="BB125" s="153"/>
      <c r="BC125" s="14"/>
    </row>
    <row r="126" spans="2:55" ht="22.2" thickBot="1" x14ac:dyDescent="0.5">
      <c r="B126" s="1" t="s">
        <v>36</v>
      </c>
      <c r="C126" s="3" t="s">
        <v>15</v>
      </c>
      <c r="D126" s="1" t="s">
        <v>37</v>
      </c>
      <c r="E126" s="4">
        <v>3</v>
      </c>
      <c r="F126" s="4">
        <f>+E126*$C$1</f>
        <v>1599.9900000000002</v>
      </c>
      <c r="G126" s="4">
        <f>+BC126</f>
        <v>0</v>
      </c>
      <c r="H126" s="35">
        <f>+F126+G126</f>
        <v>1599.9900000000002</v>
      </c>
      <c r="I126" s="5">
        <v>12</v>
      </c>
      <c r="J126" s="70"/>
      <c r="K126" s="6"/>
      <c r="L126" s="38">
        <v>44743</v>
      </c>
      <c r="M126" s="36"/>
      <c r="N126" s="48" t="s">
        <v>73</v>
      </c>
      <c r="W126" s="1" t="s">
        <v>36</v>
      </c>
      <c r="X126" s="31">
        <v>150</v>
      </c>
      <c r="Y126" s="31">
        <v>127.2</v>
      </c>
      <c r="Z126" s="32">
        <v>96</v>
      </c>
      <c r="AA126" s="32">
        <v>115.8</v>
      </c>
      <c r="AB126" s="32">
        <v>150</v>
      </c>
      <c r="AC126" s="25">
        <v>259.8</v>
      </c>
      <c r="AD126" s="22">
        <f>+AC126-AB126</f>
        <v>109.80000000000001</v>
      </c>
      <c r="AE126" s="43">
        <v>156</v>
      </c>
      <c r="AF126" s="43">
        <f>+(78)+(37.8)+(109.2)+(54)+(0)+(108)</f>
        <v>387</v>
      </c>
      <c r="AG126" s="32">
        <v>150</v>
      </c>
      <c r="AH126" s="12">
        <f>+AD126+(AE126+AF126)-AG126</f>
        <v>502.79999999999995</v>
      </c>
      <c r="AI126" s="43">
        <f t="shared" si="86"/>
        <v>0</v>
      </c>
      <c r="AJ126" s="43">
        <f t="shared" si="86"/>
        <v>0</v>
      </c>
      <c r="AK126" s="32">
        <v>150</v>
      </c>
      <c r="AL126" s="51">
        <f>+AH126+AI126+AJ126-AK126</f>
        <v>352.79999999999995</v>
      </c>
      <c r="AM126" s="43"/>
      <c r="AN126" s="43"/>
      <c r="AO126" s="32"/>
      <c r="AP126" s="22"/>
      <c r="AQ126" s="22"/>
      <c r="AR126" s="22"/>
      <c r="AS126" s="22"/>
      <c r="AT126" s="22"/>
      <c r="AU126" s="22"/>
      <c r="AV126" s="22"/>
      <c r="AW126" s="12"/>
      <c r="AX126" s="12"/>
      <c r="AY126" s="153"/>
      <c r="AZ126" s="153"/>
      <c r="BA126" s="153"/>
      <c r="BB126" s="153"/>
      <c r="BC126" s="14"/>
    </row>
    <row r="127" spans="2:55" ht="22.2" thickBot="1" x14ac:dyDescent="0.5">
      <c r="B127" s="1" t="s">
        <v>71</v>
      </c>
      <c r="C127" s="3" t="s">
        <v>13</v>
      </c>
      <c r="D127" s="2">
        <v>43906</v>
      </c>
      <c r="E127" s="4">
        <v>0</v>
      </c>
      <c r="F127" s="4">
        <f>+E127*$C$1</f>
        <v>0</v>
      </c>
      <c r="G127" s="4">
        <f>+BC127</f>
        <v>0</v>
      </c>
      <c r="H127" s="35">
        <f>+F127+G127</f>
        <v>0</v>
      </c>
      <c r="I127" s="5">
        <v>15</v>
      </c>
      <c r="J127" s="70"/>
      <c r="K127" s="6"/>
      <c r="L127" s="38">
        <v>44636</v>
      </c>
      <c r="M127" s="36"/>
      <c r="N127" s="48" t="s">
        <v>73</v>
      </c>
      <c r="W127" s="1" t="s">
        <v>71</v>
      </c>
      <c r="X127" s="31">
        <v>0</v>
      </c>
      <c r="Y127" s="31">
        <v>0</v>
      </c>
      <c r="Z127" s="32">
        <v>0</v>
      </c>
      <c r="AA127" s="32">
        <v>0</v>
      </c>
      <c r="AB127" s="32">
        <v>0</v>
      </c>
      <c r="AC127" s="25">
        <v>0</v>
      </c>
      <c r="AD127" s="22">
        <f>+AC127-AB127</f>
        <v>0</v>
      </c>
      <c r="AE127" s="43">
        <v>0</v>
      </c>
      <c r="AF127" s="43">
        <f>+(0)+(0)+(0)+(0)+(21.6)+(108)</f>
        <v>129.6</v>
      </c>
      <c r="AG127" s="32">
        <v>120</v>
      </c>
      <c r="AH127" s="12">
        <f>+AD127+(AE127+AF127)-AG127</f>
        <v>9.5999999999999943</v>
      </c>
      <c r="AI127" s="43">
        <f t="shared" si="86"/>
        <v>0</v>
      </c>
      <c r="AJ127" s="43">
        <f t="shared" si="86"/>
        <v>0</v>
      </c>
      <c r="AK127" s="32">
        <v>9.6</v>
      </c>
      <c r="AL127" s="52">
        <f>+AH127+AI127+AJ127-AK127</f>
        <v>0</v>
      </c>
      <c r="AM127" s="43"/>
      <c r="AN127" s="43"/>
      <c r="AO127" s="32"/>
      <c r="AP127" s="22"/>
      <c r="AQ127" s="22"/>
      <c r="AR127" s="22"/>
      <c r="AS127" s="22"/>
      <c r="AT127" s="22"/>
      <c r="AU127" s="22"/>
      <c r="AV127" s="22"/>
      <c r="AW127" s="12"/>
      <c r="AX127" s="12"/>
      <c r="AY127" s="153"/>
      <c r="AZ127" s="153"/>
      <c r="BA127" s="153"/>
      <c r="BB127" s="153"/>
      <c r="BC127" s="14"/>
    </row>
    <row r="128" spans="2:55" ht="22.2" thickBot="1" x14ac:dyDescent="0.5">
      <c r="B128" s="1" t="s">
        <v>81</v>
      </c>
      <c r="C128" s="3" t="s">
        <v>13</v>
      </c>
      <c r="D128" s="2">
        <v>44209</v>
      </c>
      <c r="E128" s="4">
        <v>0</v>
      </c>
      <c r="F128" s="4">
        <f t="shared" ref="F128" si="232">+E128*$C$1</f>
        <v>0</v>
      </c>
      <c r="G128" s="4">
        <f>+'BIENIOS DEPARTAMENTO DE SALUD'!BC128</f>
        <v>0</v>
      </c>
      <c r="H128" s="35">
        <f t="shared" ref="H128" si="233">+F128+G128</f>
        <v>0</v>
      </c>
      <c r="I128" s="5">
        <v>15</v>
      </c>
      <c r="J128" s="70"/>
      <c r="K128" s="6"/>
      <c r="L128" s="54">
        <v>44939</v>
      </c>
      <c r="M128" s="36"/>
      <c r="N128" s="48" t="s">
        <v>73</v>
      </c>
      <c r="W128" s="1" t="s">
        <v>81</v>
      </c>
      <c r="X128" s="31">
        <v>0</v>
      </c>
      <c r="Y128" s="31">
        <v>0</v>
      </c>
      <c r="Z128" s="32">
        <v>0</v>
      </c>
      <c r="AA128" s="32">
        <v>0</v>
      </c>
      <c r="AB128" s="32">
        <v>0</v>
      </c>
      <c r="AC128" s="25">
        <v>0</v>
      </c>
      <c r="AD128" s="22">
        <f t="shared" ref="AD128" si="234">+AC128-AB128</f>
        <v>0</v>
      </c>
      <c r="AE128" s="43">
        <v>0</v>
      </c>
      <c r="AF128" s="43">
        <v>0</v>
      </c>
      <c r="AG128" s="32">
        <v>0</v>
      </c>
      <c r="AH128" s="12">
        <f t="shared" ref="AH128" si="235">+AD128+(AE128+AF128)-AG128</f>
        <v>0</v>
      </c>
      <c r="AI128" s="43">
        <f t="shared" si="86"/>
        <v>0</v>
      </c>
      <c r="AJ128" s="43">
        <f t="shared" si="86"/>
        <v>0</v>
      </c>
      <c r="AK128" s="32">
        <v>0</v>
      </c>
      <c r="AL128" s="53">
        <f t="shared" ref="AL128" si="236">+AH128+AI128+AJ128-AK128</f>
        <v>0</v>
      </c>
      <c r="AM128" s="43"/>
      <c r="AN128" s="43"/>
      <c r="AO128" s="32"/>
      <c r="AP128" s="22"/>
      <c r="AQ128" s="22"/>
      <c r="AR128" s="22"/>
      <c r="AS128" s="22"/>
      <c r="AT128" s="22"/>
      <c r="AU128" s="22"/>
      <c r="AV128" s="22"/>
      <c r="AW128" s="12"/>
      <c r="AX128" s="12"/>
      <c r="AY128" s="153"/>
      <c r="AZ128" s="153"/>
      <c r="BA128" s="153"/>
      <c r="BB128" s="153"/>
      <c r="BC128" s="14"/>
    </row>
    <row r="129" spans="2:55" ht="22.8" thickBot="1" x14ac:dyDescent="0.55000000000000004">
      <c r="B129" s="1" t="s">
        <v>97</v>
      </c>
      <c r="C129" s="3" t="s">
        <v>15</v>
      </c>
      <c r="D129" s="2">
        <v>44576</v>
      </c>
      <c r="E129" s="18">
        <v>0</v>
      </c>
      <c r="F129" s="4">
        <f>+E129*$C$1</f>
        <v>0</v>
      </c>
      <c r="G129" s="4">
        <f>+BC129</f>
        <v>0</v>
      </c>
      <c r="H129" s="35">
        <f>+F129+G129</f>
        <v>0</v>
      </c>
      <c r="I129" s="63">
        <v>15</v>
      </c>
      <c r="J129" s="71"/>
      <c r="K129" s="6"/>
      <c r="L129" s="54">
        <v>45306</v>
      </c>
      <c r="M129" s="36"/>
      <c r="N129" s="48" t="s">
        <v>73</v>
      </c>
      <c r="W129" s="1" t="s">
        <v>97</v>
      </c>
      <c r="X129" s="33">
        <v>0</v>
      </c>
      <c r="Y129" s="31">
        <v>0</v>
      </c>
      <c r="Z129" s="32">
        <v>0</v>
      </c>
      <c r="AA129" s="32">
        <v>0</v>
      </c>
      <c r="AB129" s="32">
        <v>0</v>
      </c>
      <c r="AC129" s="25">
        <v>0</v>
      </c>
      <c r="AD129" s="22">
        <f t="shared" ref="AD129:AD135" si="237">+AC129-AB129</f>
        <v>0</v>
      </c>
      <c r="AE129" s="43">
        <v>0</v>
      </c>
      <c r="AF129" s="43">
        <v>0</v>
      </c>
      <c r="AG129" s="32">
        <v>0</v>
      </c>
      <c r="AH129" s="12">
        <f t="shared" ref="AH129:AH135" si="238">+AD129+(AE129+AF129)-AG129</f>
        <v>0</v>
      </c>
      <c r="AI129" s="43">
        <v>0</v>
      </c>
      <c r="AJ129" s="43">
        <v>0</v>
      </c>
      <c r="AK129" s="32">
        <v>0</v>
      </c>
      <c r="AL129" s="25">
        <f t="shared" ref="AL129:AL135" si="239">+AH129+AI129+AJ129-AK129</f>
        <v>0</v>
      </c>
      <c r="AM129" s="43">
        <f t="shared" si="20"/>
        <v>0</v>
      </c>
      <c r="AN129" s="43">
        <f t="shared" si="20"/>
        <v>0</v>
      </c>
      <c r="AO129" s="59">
        <v>0</v>
      </c>
      <c r="AP129" s="62">
        <f t="shared" ref="AP129:AP135" si="240">+AL129+AM129+AN129-AO129</f>
        <v>0</v>
      </c>
      <c r="AQ129" s="22"/>
      <c r="AR129" s="22"/>
      <c r="AS129" s="59"/>
      <c r="AT129" s="60">
        <f t="shared" ref="AT129:AT135" si="241">+AP129+AQ129+AR129-AS129</f>
        <v>0</v>
      </c>
      <c r="AU129" s="60"/>
      <c r="AV129" s="60"/>
      <c r="AW129" s="12"/>
      <c r="AX129" s="12"/>
      <c r="AY129" s="153"/>
      <c r="AZ129" s="153"/>
      <c r="BA129" s="153"/>
      <c r="BB129" s="153"/>
      <c r="BC129" s="58">
        <f>SUM(X129:AA129)+AB129+AG129+AK129+AO129</f>
        <v>0</v>
      </c>
    </row>
    <row r="130" spans="2:55" ht="22.8" thickBot="1" x14ac:dyDescent="0.55000000000000004">
      <c r="B130" s="1" t="s">
        <v>104</v>
      </c>
      <c r="C130" s="3" t="s">
        <v>18</v>
      </c>
      <c r="D130" s="2">
        <v>44593</v>
      </c>
      <c r="E130" s="4">
        <v>0</v>
      </c>
      <c r="F130" s="4">
        <f>+E130*$C$1</f>
        <v>0</v>
      </c>
      <c r="G130" s="4">
        <f>+BC130</f>
        <v>0</v>
      </c>
      <c r="H130" s="35">
        <f>+F130+G130</f>
        <v>0</v>
      </c>
      <c r="I130" s="63">
        <v>15</v>
      </c>
      <c r="J130" s="71"/>
      <c r="K130" s="6"/>
      <c r="L130" s="38">
        <v>45323</v>
      </c>
      <c r="M130" s="36"/>
      <c r="N130" s="48" t="s">
        <v>73</v>
      </c>
      <c r="W130" s="1" t="s">
        <v>104</v>
      </c>
      <c r="X130" s="31">
        <v>0</v>
      </c>
      <c r="Y130" s="31">
        <v>0</v>
      </c>
      <c r="Z130" s="32">
        <v>0</v>
      </c>
      <c r="AA130" s="32">
        <v>0</v>
      </c>
      <c r="AB130" s="32">
        <v>0</v>
      </c>
      <c r="AC130" s="25">
        <v>0</v>
      </c>
      <c r="AD130" s="22">
        <f t="shared" si="237"/>
        <v>0</v>
      </c>
      <c r="AE130" s="43">
        <v>0</v>
      </c>
      <c r="AF130" s="43">
        <v>0</v>
      </c>
      <c r="AG130" s="32">
        <v>0</v>
      </c>
      <c r="AH130" s="12">
        <f t="shared" si="238"/>
        <v>0</v>
      </c>
      <c r="AI130" s="43">
        <v>0</v>
      </c>
      <c r="AJ130" s="43">
        <v>0</v>
      </c>
      <c r="AK130" s="32">
        <v>0</v>
      </c>
      <c r="AL130" s="25">
        <f t="shared" si="239"/>
        <v>0</v>
      </c>
      <c r="AM130" s="43">
        <f t="shared" si="20"/>
        <v>0</v>
      </c>
      <c r="AN130" s="43">
        <f t="shared" si="20"/>
        <v>0</v>
      </c>
      <c r="AO130" s="59">
        <v>0</v>
      </c>
      <c r="AP130" s="62">
        <f t="shared" si="240"/>
        <v>0</v>
      </c>
      <c r="AQ130" s="22"/>
      <c r="AR130" s="22"/>
      <c r="AS130" s="59"/>
      <c r="AT130" s="60">
        <f t="shared" si="241"/>
        <v>0</v>
      </c>
      <c r="AU130" s="60"/>
      <c r="AV130" s="60"/>
      <c r="AW130" s="12"/>
      <c r="AX130" s="12"/>
      <c r="AY130" s="153"/>
      <c r="AZ130" s="153"/>
      <c r="BA130" s="153"/>
      <c r="BB130" s="153"/>
      <c r="BC130" s="58">
        <f>SUM(X130:AA130)+AB130+AG130+AK130+AO130</f>
        <v>0</v>
      </c>
    </row>
    <row r="131" spans="2:55" ht="22.8" thickBot="1" x14ac:dyDescent="0.55000000000000004">
      <c r="B131" s="1" t="s">
        <v>49</v>
      </c>
      <c r="C131" s="3" t="s">
        <v>18</v>
      </c>
      <c r="D131" s="1" t="s">
        <v>50</v>
      </c>
      <c r="E131" s="18">
        <v>6</v>
      </c>
      <c r="F131" s="4">
        <f>+E131*$C$1</f>
        <v>3199.9800000000005</v>
      </c>
      <c r="G131" s="4">
        <f>+BC131</f>
        <v>1477.2</v>
      </c>
      <c r="H131" s="35">
        <f>+F131+G131</f>
        <v>4677.18</v>
      </c>
      <c r="I131" s="63">
        <v>10</v>
      </c>
      <c r="J131" s="82"/>
      <c r="K131" s="6"/>
      <c r="L131" s="54">
        <v>44986</v>
      </c>
      <c r="M131" s="36"/>
      <c r="N131" s="48" t="s">
        <v>73</v>
      </c>
      <c r="W131" s="1" t="s">
        <v>49</v>
      </c>
      <c r="X131" s="33">
        <v>817.2</v>
      </c>
      <c r="Y131" s="31">
        <v>126</v>
      </c>
      <c r="Z131" s="32">
        <v>96</v>
      </c>
      <c r="AA131" s="32">
        <v>96</v>
      </c>
      <c r="AB131" s="32">
        <v>150</v>
      </c>
      <c r="AC131" s="25">
        <v>156</v>
      </c>
      <c r="AD131" s="22">
        <f t="shared" si="237"/>
        <v>6</v>
      </c>
      <c r="AE131" s="43">
        <v>0</v>
      </c>
      <c r="AF131" s="43">
        <f>+(0)+(0)+(0)+(0)+(54)+(54)</f>
        <v>108</v>
      </c>
      <c r="AG131" s="32">
        <v>114</v>
      </c>
      <c r="AH131" s="12">
        <f t="shared" si="238"/>
        <v>0</v>
      </c>
      <c r="AI131" s="43">
        <f t="shared" si="19"/>
        <v>0</v>
      </c>
      <c r="AJ131" s="43">
        <f>+(78)+(0)+(0)+(0)+(0)+(0)</f>
        <v>78</v>
      </c>
      <c r="AK131" s="32">
        <v>78</v>
      </c>
      <c r="AL131" s="55">
        <f t="shared" si="239"/>
        <v>0</v>
      </c>
      <c r="AM131" s="43">
        <f t="shared" si="20"/>
        <v>0</v>
      </c>
      <c r="AN131" s="43">
        <f t="shared" si="20"/>
        <v>0</v>
      </c>
      <c r="AO131" s="59">
        <v>0</v>
      </c>
      <c r="AP131" s="62">
        <f t="shared" si="240"/>
        <v>0</v>
      </c>
      <c r="AQ131" s="65">
        <f t="shared" si="10"/>
        <v>0</v>
      </c>
      <c r="AR131" s="65">
        <f t="shared" si="10"/>
        <v>0</v>
      </c>
      <c r="AS131" s="59"/>
      <c r="AT131" s="69">
        <f t="shared" si="241"/>
        <v>0</v>
      </c>
      <c r="AU131" s="67"/>
      <c r="AV131" s="67"/>
      <c r="AW131" s="59"/>
      <c r="AX131" s="24"/>
      <c r="AY131" s="24"/>
      <c r="AZ131" s="24"/>
      <c r="BA131" s="24"/>
      <c r="BB131" s="24"/>
      <c r="BC131" s="57">
        <f t="shared" ref="BC131:BC136" si="242">SUM(X131:AA131)+AB131+AG131+AK131+AO131+AS131</f>
        <v>1477.2</v>
      </c>
    </row>
    <row r="132" spans="2:55" ht="22.8" thickBot="1" x14ac:dyDescent="0.55000000000000004">
      <c r="B132" s="1" t="s">
        <v>129</v>
      </c>
      <c r="C132" s="3" t="s">
        <v>18</v>
      </c>
      <c r="D132" s="2">
        <v>45022</v>
      </c>
      <c r="E132" s="18">
        <v>0</v>
      </c>
      <c r="F132" s="4">
        <f>+E132*$C$1</f>
        <v>0</v>
      </c>
      <c r="G132" s="4">
        <f>+BC132</f>
        <v>0</v>
      </c>
      <c r="H132" s="35">
        <f>+F132+G132</f>
        <v>0</v>
      </c>
      <c r="I132" s="63">
        <v>15</v>
      </c>
      <c r="J132" s="82"/>
      <c r="K132" s="6"/>
      <c r="L132" s="54">
        <v>45753</v>
      </c>
      <c r="M132" s="36"/>
      <c r="N132" s="48" t="s">
        <v>73</v>
      </c>
      <c r="W132" s="1" t="s">
        <v>129</v>
      </c>
      <c r="X132" s="33">
        <v>0</v>
      </c>
      <c r="Y132" s="31">
        <v>0</v>
      </c>
      <c r="Z132" s="32">
        <v>0</v>
      </c>
      <c r="AA132" s="32">
        <v>0</v>
      </c>
      <c r="AB132" s="32">
        <v>0</v>
      </c>
      <c r="AC132" s="25">
        <v>0</v>
      </c>
      <c r="AD132" s="22">
        <f t="shared" si="237"/>
        <v>0</v>
      </c>
      <c r="AE132" s="43">
        <v>0</v>
      </c>
      <c r="AF132" s="43">
        <v>0</v>
      </c>
      <c r="AG132" s="32">
        <v>0</v>
      </c>
      <c r="AH132" s="12">
        <f t="shared" si="238"/>
        <v>0</v>
      </c>
      <c r="AI132" s="43">
        <v>0</v>
      </c>
      <c r="AJ132" s="43">
        <v>0</v>
      </c>
      <c r="AK132" s="32">
        <v>0</v>
      </c>
      <c r="AL132" s="25">
        <f t="shared" si="239"/>
        <v>0</v>
      </c>
      <c r="AM132" s="43">
        <v>0</v>
      </c>
      <c r="AN132" s="43">
        <v>0</v>
      </c>
      <c r="AO132" s="59">
        <v>0</v>
      </c>
      <c r="AP132" s="62">
        <f t="shared" si="240"/>
        <v>0</v>
      </c>
      <c r="AQ132" s="65">
        <f t="shared" si="10"/>
        <v>0</v>
      </c>
      <c r="AR132" s="65">
        <f t="shared" si="10"/>
        <v>0</v>
      </c>
      <c r="AS132" s="59">
        <v>0</v>
      </c>
      <c r="AT132" s="69">
        <f t="shared" si="241"/>
        <v>0</v>
      </c>
      <c r="AU132" s="67"/>
      <c r="AV132" s="67"/>
      <c r="AW132" s="59"/>
      <c r="AX132" s="24"/>
      <c r="AY132" s="24"/>
      <c r="AZ132" s="24"/>
      <c r="BA132" s="24"/>
      <c r="BB132" s="24"/>
      <c r="BC132" s="57">
        <f t="shared" si="242"/>
        <v>0</v>
      </c>
    </row>
    <row r="133" spans="2:55" ht="22.8" thickBot="1" x14ac:dyDescent="0.55000000000000004">
      <c r="B133" s="1" t="s">
        <v>132</v>
      </c>
      <c r="C133" s="3" t="s">
        <v>26</v>
      </c>
      <c r="D133" s="2">
        <v>45050</v>
      </c>
      <c r="E133" s="18">
        <v>0</v>
      </c>
      <c r="F133" s="4">
        <f>+E133*$C$1</f>
        <v>0</v>
      </c>
      <c r="G133" s="4">
        <f t="shared" ref="G133" si="243">+BC133</f>
        <v>0</v>
      </c>
      <c r="H133" s="35">
        <f>+F133+G133</f>
        <v>0</v>
      </c>
      <c r="I133" s="63">
        <v>15</v>
      </c>
      <c r="J133" s="82"/>
      <c r="K133" s="6"/>
      <c r="L133" s="54">
        <v>45781</v>
      </c>
      <c r="M133" s="36"/>
      <c r="N133" s="48" t="s">
        <v>73</v>
      </c>
      <c r="W133" s="1" t="s">
        <v>133</v>
      </c>
      <c r="X133" s="33">
        <v>0</v>
      </c>
      <c r="Y133" s="31">
        <v>0</v>
      </c>
      <c r="Z133" s="32">
        <v>0</v>
      </c>
      <c r="AA133" s="32">
        <v>0</v>
      </c>
      <c r="AB133" s="32">
        <v>0</v>
      </c>
      <c r="AC133" s="25">
        <v>0</v>
      </c>
      <c r="AD133" s="22">
        <f t="shared" si="237"/>
        <v>0</v>
      </c>
      <c r="AE133" s="43">
        <v>0</v>
      </c>
      <c r="AF133" s="43">
        <v>0</v>
      </c>
      <c r="AG133" s="32">
        <v>0</v>
      </c>
      <c r="AH133" s="12">
        <f t="shared" si="238"/>
        <v>0</v>
      </c>
      <c r="AI133" s="43">
        <v>0</v>
      </c>
      <c r="AJ133" s="43">
        <v>0</v>
      </c>
      <c r="AK133" s="32">
        <v>0</v>
      </c>
      <c r="AL133" s="25">
        <f t="shared" si="239"/>
        <v>0</v>
      </c>
      <c r="AM133" s="43">
        <v>0</v>
      </c>
      <c r="AN133" s="43">
        <v>0</v>
      </c>
      <c r="AO133" s="59">
        <v>0</v>
      </c>
      <c r="AP133" s="62">
        <f t="shared" si="240"/>
        <v>0</v>
      </c>
      <c r="AQ133" s="65">
        <f t="shared" si="10"/>
        <v>0</v>
      </c>
      <c r="AR133" s="65">
        <f t="shared" si="10"/>
        <v>0</v>
      </c>
      <c r="AS133" s="59">
        <v>0</v>
      </c>
      <c r="AT133" s="69">
        <f t="shared" si="241"/>
        <v>0</v>
      </c>
      <c r="AU133" s="67"/>
      <c r="AV133" s="67"/>
      <c r="AW133" s="59"/>
      <c r="AX133" s="24"/>
      <c r="AY133" s="24"/>
      <c r="AZ133" s="24"/>
      <c r="BA133" s="24"/>
      <c r="BB133" s="24"/>
      <c r="BC133" s="57">
        <f t="shared" si="242"/>
        <v>0</v>
      </c>
    </row>
    <row r="134" spans="2:55" ht="22.8" thickBot="1" x14ac:dyDescent="0.55000000000000004">
      <c r="B134" s="1" t="s">
        <v>130</v>
      </c>
      <c r="C134" s="3" t="s">
        <v>21</v>
      </c>
      <c r="D134" s="8">
        <v>45026</v>
      </c>
      <c r="E134" s="4">
        <v>0</v>
      </c>
      <c r="F134" s="4">
        <f t="shared" ref="F134" si="244">+E134*$C$1</f>
        <v>0</v>
      </c>
      <c r="G134" s="4">
        <f t="shared" ref="G134" si="245">+BC134</f>
        <v>0</v>
      </c>
      <c r="H134" s="35">
        <f t="shared" ref="H134" si="246">+F134+G134</f>
        <v>0</v>
      </c>
      <c r="I134" s="63">
        <v>15</v>
      </c>
      <c r="J134" s="82"/>
      <c r="K134" s="6"/>
      <c r="L134" s="38">
        <v>45757</v>
      </c>
      <c r="M134" s="36"/>
      <c r="N134" s="48" t="s">
        <v>73</v>
      </c>
      <c r="W134" s="1" t="s">
        <v>130</v>
      </c>
      <c r="X134" s="31">
        <v>0</v>
      </c>
      <c r="Y134" s="31">
        <v>0</v>
      </c>
      <c r="Z134" s="32">
        <v>0</v>
      </c>
      <c r="AA134" s="32">
        <v>0</v>
      </c>
      <c r="AB134" s="32">
        <v>0</v>
      </c>
      <c r="AC134" s="25">
        <v>0</v>
      </c>
      <c r="AD134" s="22">
        <f t="shared" si="237"/>
        <v>0</v>
      </c>
      <c r="AE134" s="43">
        <v>0</v>
      </c>
      <c r="AF134" s="43">
        <v>0</v>
      </c>
      <c r="AG134" s="32">
        <v>0</v>
      </c>
      <c r="AH134" s="12">
        <f t="shared" si="238"/>
        <v>0</v>
      </c>
      <c r="AI134" s="43">
        <v>0</v>
      </c>
      <c r="AJ134" s="43">
        <v>0</v>
      </c>
      <c r="AK134" s="32">
        <v>0</v>
      </c>
      <c r="AL134" s="25">
        <f t="shared" si="239"/>
        <v>0</v>
      </c>
      <c r="AM134" s="43">
        <v>0</v>
      </c>
      <c r="AN134" s="43">
        <v>0</v>
      </c>
      <c r="AO134" s="59">
        <v>0</v>
      </c>
      <c r="AP134" s="62">
        <f t="shared" si="240"/>
        <v>0</v>
      </c>
      <c r="AQ134" s="65">
        <f t="shared" si="74"/>
        <v>0</v>
      </c>
      <c r="AR134" s="65">
        <f t="shared" si="74"/>
        <v>0</v>
      </c>
      <c r="AS134" s="117"/>
      <c r="AT134" s="69">
        <f t="shared" si="241"/>
        <v>0</v>
      </c>
      <c r="AU134" s="67"/>
      <c r="AV134" s="67"/>
      <c r="AW134" s="59"/>
      <c r="AX134" s="24"/>
      <c r="AY134" s="24"/>
      <c r="AZ134" s="24"/>
      <c r="BA134" s="24"/>
      <c r="BB134" s="24"/>
      <c r="BC134" s="57">
        <f t="shared" si="242"/>
        <v>0</v>
      </c>
    </row>
    <row r="135" spans="2:55" ht="22.8" thickBot="1" x14ac:dyDescent="0.55000000000000004">
      <c r="B135" s="1" t="s">
        <v>126</v>
      </c>
      <c r="C135" s="3" t="s">
        <v>26</v>
      </c>
      <c r="D135" s="8">
        <v>44998</v>
      </c>
      <c r="E135" s="4">
        <v>1</v>
      </c>
      <c r="F135" s="4">
        <f>+E135*$C$1</f>
        <v>533.33000000000004</v>
      </c>
      <c r="G135" s="4">
        <f>+BC135</f>
        <v>479.40000000000003</v>
      </c>
      <c r="H135" s="35">
        <f>+F135+G135</f>
        <v>1012.73</v>
      </c>
      <c r="I135" s="63">
        <v>14</v>
      </c>
      <c r="J135" s="82"/>
      <c r="K135" s="119" t="s">
        <v>131</v>
      </c>
      <c r="L135" s="38">
        <v>45425</v>
      </c>
      <c r="M135" s="36"/>
      <c r="N135" s="48" t="s">
        <v>73</v>
      </c>
      <c r="W135" s="1" t="s">
        <v>126</v>
      </c>
      <c r="X135" s="61">
        <v>424.8</v>
      </c>
      <c r="Y135" s="31">
        <v>0</v>
      </c>
      <c r="Z135" s="32">
        <v>0</v>
      </c>
      <c r="AA135" s="32">
        <v>0</v>
      </c>
      <c r="AB135" s="32">
        <v>0</v>
      </c>
      <c r="AC135" s="25">
        <v>0</v>
      </c>
      <c r="AD135" s="22">
        <f t="shared" si="237"/>
        <v>0</v>
      </c>
      <c r="AE135" s="43">
        <v>0</v>
      </c>
      <c r="AF135" s="43">
        <v>0</v>
      </c>
      <c r="AG135" s="32">
        <v>0</v>
      </c>
      <c r="AH135" s="12">
        <f t="shared" si="238"/>
        <v>0</v>
      </c>
      <c r="AI135" s="43">
        <v>0</v>
      </c>
      <c r="AJ135" s="43">
        <v>0</v>
      </c>
      <c r="AK135" s="32">
        <v>0</v>
      </c>
      <c r="AL135" s="25">
        <f t="shared" si="239"/>
        <v>0</v>
      </c>
      <c r="AM135" s="43">
        <v>0</v>
      </c>
      <c r="AN135" s="43">
        <v>0</v>
      </c>
      <c r="AO135" s="59">
        <v>0</v>
      </c>
      <c r="AP135" s="62">
        <f t="shared" si="240"/>
        <v>0</v>
      </c>
      <c r="AQ135" s="65">
        <f>+(0)+(0)+(0)+(0)+(54.6)+(0)</f>
        <v>54.6</v>
      </c>
      <c r="AR135" s="65">
        <f t="shared" si="74"/>
        <v>0</v>
      </c>
      <c r="AS135" s="117">
        <v>54.6</v>
      </c>
      <c r="AT135" s="69">
        <f t="shared" si="241"/>
        <v>0</v>
      </c>
      <c r="AU135" s="67"/>
      <c r="AV135" s="67"/>
      <c r="AW135" s="59"/>
      <c r="AX135" s="24"/>
      <c r="AY135" s="24"/>
      <c r="AZ135" s="24"/>
      <c r="BA135" s="24"/>
      <c r="BB135" s="24"/>
      <c r="BC135" s="57">
        <f t="shared" si="242"/>
        <v>479.40000000000003</v>
      </c>
    </row>
    <row r="136" spans="2:55" ht="22.8" thickBot="1" x14ac:dyDescent="0.55000000000000004">
      <c r="B136" s="1" t="s">
        <v>124</v>
      </c>
      <c r="C136" s="3" t="s">
        <v>15</v>
      </c>
      <c r="D136" s="8">
        <v>44937</v>
      </c>
      <c r="E136" s="4">
        <v>0</v>
      </c>
      <c r="F136" s="4">
        <f>+E136*$C$1</f>
        <v>0</v>
      </c>
      <c r="G136" s="4">
        <f t="shared" ref="G136" si="247">+BC136</f>
        <v>150</v>
      </c>
      <c r="H136" s="35">
        <f t="shared" ref="H136" si="248">+F136+G136</f>
        <v>150</v>
      </c>
      <c r="I136" s="63">
        <v>15</v>
      </c>
      <c r="J136" s="48"/>
      <c r="K136" s="6"/>
      <c r="L136" s="38">
        <v>45668</v>
      </c>
      <c r="M136" s="36"/>
      <c r="N136" s="48" t="s">
        <v>73</v>
      </c>
      <c r="W136" s="1" t="str">
        <f>+B136</f>
        <v>PLAZA GALLEGOS JUAN ARTURO</v>
      </c>
      <c r="X136" s="31">
        <v>0</v>
      </c>
      <c r="Y136" s="31">
        <v>0</v>
      </c>
      <c r="Z136" s="32">
        <v>0</v>
      </c>
      <c r="AA136" s="32">
        <v>0</v>
      </c>
      <c r="AB136" s="32">
        <v>0</v>
      </c>
      <c r="AC136" s="25">
        <v>0</v>
      </c>
      <c r="AD136" s="22">
        <f>+AC136-AB136</f>
        <v>0</v>
      </c>
      <c r="AE136" s="43">
        <v>0</v>
      </c>
      <c r="AF136" s="43">
        <v>0</v>
      </c>
      <c r="AG136" s="32">
        <v>0</v>
      </c>
      <c r="AH136" s="12">
        <f t="shared" ref="AH136:AH141" si="249">+AD136+(AE136+AF136)-AG136</f>
        <v>0</v>
      </c>
      <c r="AI136" s="43">
        <v>0</v>
      </c>
      <c r="AJ136" s="43">
        <v>0</v>
      </c>
      <c r="AK136" s="32">
        <v>0</v>
      </c>
      <c r="AL136" s="25">
        <f t="shared" ref="AL136:AL141" si="250">+AH136+AI136+AJ136-AK136</f>
        <v>0</v>
      </c>
      <c r="AM136" s="43">
        <v>0</v>
      </c>
      <c r="AN136" s="43">
        <v>0</v>
      </c>
      <c r="AO136" s="59">
        <v>0</v>
      </c>
      <c r="AP136" s="62">
        <f t="shared" ref="AP136:AP141" si="251">+AL136+AM136+AN136-AO136</f>
        <v>0</v>
      </c>
      <c r="AQ136" s="65">
        <f>+(0)+(84)+(21)+(54)+(0)+(0)</f>
        <v>159</v>
      </c>
      <c r="AR136" s="65">
        <f t="shared" si="74"/>
        <v>0</v>
      </c>
      <c r="AS136" s="117">
        <v>150</v>
      </c>
      <c r="AT136" s="69">
        <f t="shared" ref="AT136:AT141" si="252">+AP136+AQ136+AR136-AS136</f>
        <v>9</v>
      </c>
      <c r="AU136" s="67"/>
      <c r="AV136" s="67"/>
      <c r="AW136" s="59"/>
      <c r="AX136" s="24"/>
      <c r="AY136" s="24"/>
      <c r="AZ136" s="24"/>
      <c r="BA136" s="24"/>
      <c r="BB136" s="24"/>
      <c r="BC136" s="57">
        <f t="shared" si="242"/>
        <v>150</v>
      </c>
    </row>
    <row r="137" spans="2:55" ht="22.8" thickBot="1" x14ac:dyDescent="0.55000000000000004">
      <c r="B137" s="1" t="s">
        <v>148</v>
      </c>
      <c r="C137" s="3" t="s">
        <v>13</v>
      </c>
      <c r="D137" s="8">
        <v>45175</v>
      </c>
      <c r="E137" s="4">
        <v>0</v>
      </c>
      <c r="F137" s="4">
        <f t="shared" ref="F137" si="253">+E137*$C$1</f>
        <v>0</v>
      </c>
      <c r="G137" s="4">
        <f t="shared" ref="G137" si="254">+BC137</f>
        <v>0</v>
      </c>
      <c r="H137" s="35">
        <f t="shared" ref="H137" si="255">+F137+G137</f>
        <v>0</v>
      </c>
      <c r="I137" s="63">
        <v>15</v>
      </c>
      <c r="J137" s="82"/>
      <c r="K137" s="6"/>
      <c r="L137" s="38">
        <v>45906</v>
      </c>
      <c r="M137" s="36"/>
      <c r="N137" s="48" t="s">
        <v>73</v>
      </c>
      <c r="W137" s="1" t="s">
        <v>148</v>
      </c>
      <c r="X137" s="31">
        <v>0</v>
      </c>
      <c r="Y137" s="31">
        <v>0</v>
      </c>
      <c r="Z137" s="32">
        <v>0</v>
      </c>
      <c r="AA137" s="32">
        <v>0</v>
      </c>
      <c r="AB137" s="32">
        <v>0</v>
      </c>
      <c r="AC137" s="25">
        <v>0</v>
      </c>
      <c r="AD137" s="22">
        <f>+AC137-AB137</f>
        <v>0</v>
      </c>
      <c r="AE137" s="43">
        <v>0</v>
      </c>
      <c r="AF137" s="43">
        <v>0</v>
      </c>
      <c r="AG137" s="32">
        <v>0</v>
      </c>
      <c r="AH137" s="12">
        <f t="shared" si="249"/>
        <v>0</v>
      </c>
      <c r="AI137" s="43">
        <v>0</v>
      </c>
      <c r="AJ137" s="43">
        <v>0</v>
      </c>
      <c r="AK137" s="32">
        <v>0</v>
      </c>
      <c r="AL137" s="25">
        <f t="shared" si="250"/>
        <v>0</v>
      </c>
      <c r="AM137" s="43">
        <v>0</v>
      </c>
      <c r="AN137" s="43">
        <v>0</v>
      </c>
      <c r="AO137" s="59">
        <v>0</v>
      </c>
      <c r="AP137" s="62">
        <f t="shared" si="251"/>
        <v>0</v>
      </c>
      <c r="AQ137" s="65">
        <v>0</v>
      </c>
      <c r="AR137" s="65">
        <v>0</v>
      </c>
      <c r="AS137" s="118">
        <v>0</v>
      </c>
      <c r="AT137" s="62">
        <f t="shared" si="252"/>
        <v>0</v>
      </c>
      <c r="AU137" s="25">
        <f t="shared" si="41"/>
        <v>0</v>
      </c>
      <c r="AV137" s="25">
        <f t="shared" si="48"/>
        <v>0</v>
      </c>
      <c r="AW137" s="25">
        <v>0</v>
      </c>
      <c r="AX137" s="25">
        <f t="shared" ref="AX137" si="256">+AT137+AU137+AV137-AW137</f>
        <v>0</v>
      </c>
      <c r="AY137" s="152"/>
      <c r="AZ137" s="152"/>
      <c r="BA137" s="152"/>
      <c r="BB137" s="152"/>
      <c r="BC137" s="122">
        <f t="shared" ref="BC137" si="257">SUM(X137:AA137)+AB137+AG137+AK137+AO137+AS137+AW137</f>
        <v>0</v>
      </c>
    </row>
    <row r="138" spans="2:55" ht="22.8" thickBot="1" x14ac:dyDescent="0.55000000000000004">
      <c r="B138" s="1" t="s">
        <v>96</v>
      </c>
      <c r="C138" s="3" t="s">
        <v>13</v>
      </c>
      <c r="D138" s="2">
        <v>44562</v>
      </c>
      <c r="E138" s="18">
        <v>1</v>
      </c>
      <c r="F138" s="4">
        <f>+E138*$C$1</f>
        <v>533.33000000000004</v>
      </c>
      <c r="G138" s="4">
        <f>+BC138</f>
        <v>240</v>
      </c>
      <c r="H138" s="35">
        <f>+F138+G138</f>
        <v>773.33</v>
      </c>
      <c r="I138" s="63">
        <v>14</v>
      </c>
      <c r="J138" s="82"/>
      <c r="K138" s="140" t="s">
        <v>70</v>
      </c>
      <c r="L138" s="141">
        <v>46023</v>
      </c>
      <c r="M138" s="36"/>
      <c r="N138" s="48" t="s">
        <v>73</v>
      </c>
      <c r="W138" s="1" t="s">
        <v>96</v>
      </c>
      <c r="X138" s="33">
        <v>0</v>
      </c>
      <c r="Y138" s="31">
        <v>0</v>
      </c>
      <c r="Z138" s="32">
        <v>0</v>
      </c>
      <c r="AA138" s="32">
        <v>0</v>
      </c>
      <c r="AB138" s="32">
        <v>0</v>
      </c>
      <c r="AC138" s="25">
        <v>0</v>
      </c>
      <c r="AD138" s="22">
        <v>0</v>
      </c>
      <c r="AE138" s="43">
        <v>0</v>
      </c>
      <c r="AF138" s="43">
        <v>0</v>
      </c>
      <c r="AG138" s="32">
        <v>0</v>
      </c>
      <c r="AH138" s="12">
        <f t="shared" si="249"/>
        <v>0</v>
      </c>
      <c r="AI138" s="43">
        <v>0</v>
      </c>
      <c r="AJ138" s="43">
        <v>0</v>
      </c>
      <c r="AK138" s="32">
        <v>0</v>
      </c>
      <c r="AL138" s="25">
        <f t="shared" si="250"/>
        <v>0</v>
      </c>
      <c r="AM138" s="43">
        <f t="shared" si="20"/>
        <v>0</v>
      </c>
      <c r="AN138" s="43">
        <f t="shared" si="20"/>
        <v>0</v>
      </c>
      <c r="AO138" s="59">
        <v>0</v>
      </c>
      <c r="AP138" s="62">
        <f t="shared" si="251"/>
        <v>0</v>
      </c>
      <c r="AQ138" s="65">
        <f>+(96)+(0)+(0)+(0)+(0)+(0)</f>
        <v>96</v>
      </c>
      <c r="AR138" s="65">
        <f>+(0)+(228)+(0)+(0)+(0)+(0)</f>
        <v>228</v>
      </c>
      <c r="AS138" s="118">
        <v>120</v>
      </c>
      <c r="AT138" s="62">
        <f t="shared" si="252"/>
        <v>204</v>
      </c>
      <c r="AU138" s="25">
        <f t="shared" si="41"/>
        <v>0</v>
      </c>
      <c r="AV138" s="25">
        <f t="shared" si="48"/>
        <v>0</v>
      </c>
      <c r="AW138" s="25">
        <v>120</v>
      </c>
      <c r="AX138" s="25">
        <f>+AT138+AU138+AV138-AW138</f>
        <v>84</v>
      </c>
      <c r="AY138" s="152"/>
      <c r="AZ138" s="152"/>
      <c r="BA138" s="152"/>
      <c r="BB138" s="152"/>
      <c r="BC138" s="122">
        <f>SUM(X138:AA138)+AB138+AG138+AK138+AO138+AS138+AW138</f>
        <v>240</v>
      </c>
    </row>
    <row r="139" spans="2:55" ht="22.8" thickBot="1" x14ac:dyDescent="0.55000000000000004">
      <c r="B139" s="1" t="s">
        <v>103</v>
      </c>
      <c r="C139" s="3" t="s">
        <v>26</v>
      </c>
      <c r="D139" s="8">
        <v>44562</v>
      </c>
      <c r="E139" s="4">
        <v>1</v>
      </c>
      <c r="F139" s="4">
        <f>+E139*$C$1</f>
        <v>533.33000000000004</v>
      </c>
      <c r="G139" s="4">
        <f>+BC139</f>
        <v>234</v>
      </c>
      <c r="H139" s="35">
        <f>+F139+G139</f>
        <v>767.33</v>
      </c>
      <c r="I139" s="63">
        <v>15</v>
      </c>
      <c r="J139" s="82"/>
      <c r="K139" s="140" t="s">
        <v>70</v>
      </c>
      <c r="L139" s="38">
        <v>46023</v>
      </c>
      <c r="M139" s="36"/>
      <c r="N139" s="48" t="s">
        <v>73</v>
      </c>
      <c r="W139" s="1" t="s">
        <v>103</v>
      </c>
      <c r="X139" s="31">
        <v>0</v>
      </c>
      <c r="Y139" s="31">
        <v>0</v>
      </c>
      <c r="Z139" s="32">
        <v>0</v>
      </c>
      <c r="AA139" s="32">
        <v>0</v>
      </c>
      <c r="AB139" s="32">
        <v>0</v>
      </c>
      <c r="AC139" s="25">
        <v>0</v>
      </c>
      <c r="AD139" s="22">
        <f>+AC139-AB139</f>
        <v>0</v>
      </c>
      <c r="AE139" s="43">
        <v>0</v>
      </c>
      <c r="AF139" s="43">
        <v>0</v>
      </c>
      <c r="AG139" s="32">
        <v>0</v>
      </c>
      <c r="AH139" s="12">
        <f t="shared" si="249"/>
        <v>0</v>
      </c>
      <c r="AI139" s="43">
        <v>0</v>
      </c>
      <c r="AJ139" s="43">
        <v>0</v>
      </c>
      <c r="AK139" s="32">
        <v>0</v>
      </c>
      <c r="AL139" s="25">
        <f t="shared" si="250"/>
        <v>0</v>
      </c>
      <c r="AM139" s="43">
        <f t="shared" si="20"/>
        <v>0</v>
      </c>
      <c r="AN139" s="43">
        <f t="shared" si="20"/>
        <v>0</v>
      </c>
      <c r="AO139" s="59">
        <v>0</v>
      </c>
      <c r="AP139" s="62">
        <f t="shared" si="251"/>
        <v>0</v>
      </c>
      <c r="AQ139" s="65">
        <f>+(204)+(0)+(0)+(0)+(0)+(0)</f>
        <v>204</v>
      </c>
      <c r="AR139" s="65">
        <f>+(0)+(30)+(0)+(0)+(0)+(0)</f>
        <v>30</v>
      </c>
      <c r="AS139" s="118">
        <v>120</v>
      </c>
      <c r="AT139" s="62">
        <f t="shared" si="252"/>
        <v>114</v>
      </c>
      <c r="AU139" s="25">
        <f t="shared" si="41"/>
        <v>0</v>
      </c>
      <c r="AV139" s="25">
        <f t="shared" si="48"/>
        <v>0</v>
      </c>
      <c r="AW139" s="25">
        <v>114</v>
      </c>
      <c r="AX139" s="25">
        <f>+AT139+AU139+AV139-AW139</f>
        <v>0</v>
      </c>
      <c r="AY139" s="152"/>
      <c r="AZ139" s="152"/>
      <c r="BA139" s="152"/>
      <c r="BB139" s="152"/>
      <c r="BC139" s="122">
        <f>SUM(X139:AA139)+AB139+AG139+AK139+AO139+AS139+AW139</f>
        <v>234</v>
      </c>
    </row>
    <row r="140" spans="2:55" ht="22.8" thickBot="1" x14ac:dyDescent="0.55000000000000004">
      <c r="B140" s="1" t="s">
        <v>162</v>
      </c>
      <c r="C140" s="3" t="s">
        <v>26</v>
      </c>
      <c r="D140" s="2">
        <v>45329</v>
      </c>
      <c r="E140" s="18">
        <v>0</v>
      </c>
      <c r="F140" s="4">
        <f t="shared" ref="F140" si="258">+E140*$C$1</f>
        <v>0</v>
      </c>
      <c r="G140" s="4">
        <f t="shared" ref="G140" si="259">+BC140</f>
        <v>0</v>
      </c>
      <c r="H140" s="35">
        <f t="shared" ref="H140" si="260">+F140+G140</f>
        <v>0</v>
      </c>
      <c r="I140" s="63">
        <v>15</v>
      </c>
      <c r="J140" s="82"/>
      <c r="K140" s="6"/>
      <c r="L140" s="54">
        <v>46060</v>
      </c>
      <c r="M140" s="36"/>
      <c r="N140" s="48" t="s">
        <v>73</v>
      </c>
      <c r="W140" s="1" t="s">
        <v>162</v>
      </c>
      <c r="X140" s="33">
        <v>0</v>
      </c>
      <c r="Y140" s="31">
        <v>0</v>
      </c>
      <c r="Z140" s="32">
        <v>0</v>
      </c>
      <c r="AA140" s="32">
        <v>0</v>
      </c>
      <c r="AB140" s="32">
        <v>0</v>
      </c>
      <c r="AC140" s="25">
        <v>0</v>
      </c>
      <c r="AD140" s="22">
        <f>+AC140-AB140</f>
        <v>0</v>
      </c>
      <c r="AE140" s="43">
        <v>0</v>
      </c>
      <c r="AF140" s="43">
        <v>0</v>
      </c>
      <c r="AG140" s="32">
        <v>0</v>
      </c>
      <c r="AH140" s="12">
        <f t="shared" si="249"/>
        <v>0</v>
      </c>
      <c r="AI140" s="43">
        <v>0</v>
      </c>
      <c r="AJ140" s="43">
        <v>0</v>
      </c>
      <c r="AK140" s="32">
        <v>0</v>
      </c>
      <c r="AL140" s="25">
        <f t="shared" si="250"/>
        <v>0</v>
      </c>
      <c r="AM140" s="43">
        <v>0</v>
      </c>
      <c r="AN140" s="43">
        <v>0</v>
      </c>
      <c r="AO140" s="59">
        <v>0</v>
      </c>
      <c r="AP140" s="62">
        <f t="shared" si="251"/>
        <v>0</v>
      </c>
      <c r="AQ140" s="65">
        <v>0</v>
      </c>
      <c r="AR140" s="65">
        <v>0</v>
      </c>
      <c r="AS140" s="118">
        <v>0</v>
      </c>
      <c r="AT140" s="62">
        <f t="shared" si="252"/>
        <v>0</v>
      </c>
      <c r="AU140" s="25">
        <f t="shared" si="41"/>
        <v>0</v>
      </c>
      <c r="AV140" s="25">
        <f t="shared" si="48"/>
        <v>0</v>
      </c>
      <c r="AW140" s="25">
        <v>0</v>
      </c>
      <c r="AX140" s="25">
        <f t="shared" ref="AX140" si="261">+AT140+AU140+AV140-AW140</f>
        <v>0</v>
      </c>
      <c r="AY140" s="152"/>
      <c r="AZ140" s="152"/>
      <c r="BA140" s="152"/>
      <c r="BB140" s="152"/>
      <c r="BC140" s="122">
        <f t="shared" ref="BC140" si="262">SUM(X140:AA140)+AB140+AG140+AK140+AO140+AS140+AW140</f>
        <v>0</v>
      </c>
    </row>
    <row r="141" spans="2:55" ht="22.8" thickBot="1" x14ac:dyDescent="0.55000000000000004">
      <c r="B141" s="1" t="s">
        <v>161</v>
      </c>
      <c r="C141" s="3" t="s">
        <v>13</v>
      </c>
      <c r="D141" s="2">
        <v>45292</v>
      </c>
      <c r="E141" s="18">
        <v>0</v>
      </c>
      <c r="F141" s="4">
        <f>+E141*$C$1</f>
        <v>0</v>
      </c>
      <c r="G141" s="4">
        <f t="shared" ref="G141" si="263">+BC141</f>
        <v>0</v>
      </c>
      <c r="H141" s="35">
        <f t="shared" ref="H141" si="264">+F141+G141</f>
        <v>0</v>
      </c>
      <c r="I141" s="63">
        <v>15</v>
      </c>
      <c r="J141" s="82"/>
      <c r="K141" s="6"/>
      <c r="L141" s="141">
        <v>46023</v>
      </c>
      <c r="M141" s="36"/>
      <c r="N141" s="48" t="s">
        <v>73</v>
      </c>
      <c r="W141" s="1" t="s">
        <v>161</v>
      </c>
      <c r="X141" s="31">
        <v>0</v>
      </c>
      <c r="Y141" s="31">
        <v>0</v>
      </c>
      <c r="Z141" s="32">
        <v>0</v>
      </c>
      <c r="AA141" s="32">
        <v>0</v>
      </c>
      <c r="AB141" s="32">
        <v>0</v>
      </c>
      <c r="AC141" s="25">
        <v>0</v>
      </c>
      <c r="AD141" s="22">
        <v>0</v>
      </c>
      <c r="AE141" s="43">
        <v>0</v>
      </c>
      <c r="AF141" s="43">
        <v>0</v>
      </c>
      <c r="AG141" s="32">
        <v>0</v>
      </c>
      <c r="AH141" s="12">
        <f t="shared" si="249"/>
        <v>0</v>
      </c>
      <c r="AI141" s="43">
        <v>0</v>
      </c>
      <c r="AJ141" s="43">
        <v>0</v>
      </c>
      <c r="AK141" s="32">
        <v>0</v>
      </c>
      <c r="AL141" s="25">
        <f t="shared" si="250"/>
        <v>0</v>
      </c>
      <c r="AM141" s="43">
        <v>0</v>
      </c>
      <c r="AN141" s="43">
        <v>0</v>
      </c>
      <c r="AO141" s="59">
        <v>0</v>
      </c>
      <c r="AP141" s="62">
        <f t="shared" si="251"/>
        <v>0</v>
      </c>
      <c r="AQ141" s="65">
        <v>0</v>
      </c>
      <c r="AR141" s="65">
        <v>0</v>
      </c>
      <c r="AS141" s="118">
        <v>0</v>
      </c>
      <c r="AT141" s="62">
        <f t="shared" si="252"/>
        <v>0</v>
      </c>
      <c r="AU141" s="25">
        <f t="shared" si="41"/>
        <v>0</v>
      </c>
      <c r="AV141" s="25">
        <f t="shared" si="48"/>
        <v>0</v>
      </c>
      <c r="AW141" s="25">
        <v>0</v>
      </c>
      <c r="AX141" s="25">
        <f>+AT141+AU141+AV141-AW141</f>
        <v>0</v>
      </c>
      <c r="AY141" s="152"/>
      <c r="AZ141" s="152"/>
      <c r="BA141" s="152"/>
      <c r="BB141" s="152"/>
      <c r="BC141" s="122">
        <f>SUM(X141:AA141)+AB141+AG141+AK141+AO141+AS141+AW141</f>
        <v>0</v>
      </c>
    </row>
    <row r="142" spans="2:55" ht="22.8" thickBot="1" x14ac:dyDescent="0.55000000000000004">
      <c r="B142" s="1" t="s">
        <v>162</v>
      </c>
      <c r="C142" s="3" t="s">
        <v>26</v>
      </c>
      <c r="D142" s="2">
        <v>45387</v>
      </c>
      <c r="E142" s="18">
        <v>0</v>
      </c>
      <c r="F142" s="4">
        <f t="shared" ref="F142" si="265">+E142*$C$1</f>
        <v>0</v>
      </c>
      <c r="G142" s="4">
        <f t="shared" ref="G142" si="266">+BC142</f>
        <v>0</v>
      </c>
      <c r="H142" s="35">
        <f t="shared" ref="H142" si="267">+F142+G142</f>
        <v>0</v>
      </c>
      <c r="I142" s="63">
        <v>15</v>
      </c>
      <c r="J142" s="82"/>
      <c r="K142" s="6"/>
      <c r="L142" s="54">
        <v>46117</v>
      </c>
      <c r="M142" s="36"/>
      <c r="N142" s="48" t="s">
        <v>73</v>
      </c>
      <c r="W142" s="1" t="s">
        <v>162</v>
      </c>
      <c r="X142" s="33">
        <v>0</v>
      </c>
      <c r="Y142" s="31">
        <v>0</v>
      </c>
      <c r="Z142" s="32">
        <v>0</v>
      </c>
      <c r="AA142" s="32">
        <v>0</v>
      </c>
      <c r="AB142" s="32">
        <v>0</v>
      </c>
      <c r="AC142" s="25">
        <v>0</v>
      </c>
      <c r="AD142" s="22">
        <f>+AC142-AB142</f>
        <v>0</v>
      </c>
      <c r="AE142" s="43">
        <v>0</v>
      </c>
      <c r="AF142" s="43">
        <v>0</v>
      </c>
      <c r="AG142" s="32">
        <v>0</v>
      </c>
      <c r="AH142" s="12">
        <f t="shared" ref="AH142:AH147" si="268">+AD142+(AE142+AF142)-AG142</f>
        <v>0</v>
      </c>
      <c r="AI142" s="43">
        <v>0</v>
      </c>
      <c r="AJ142" s="43">
        <v>0</v>
      </c>
      <c r="AK142" s="32">
        <v>0</v>
      </c>
      <c r="AL142" s="25">
        <f t="shared" ref="AL142:AL147" si="269">+AH142+AI142+AJ142-AK142</f>
        <v>0</v>
      </c>
      <c r="AM142" s="43">
        <v>0</v>
      </c>
      <c r="AN142" s="43">
        <v>0</v>
      </c>
      <c r="AO142" s="59">
        <v>0</v>
      </c>
      <c r="AP142" s="62">
        <f t="shared" ref="AP142:AP147" si="270">+AL142+AM142+AN142-AO142</f>
        <v>0</v>
      </c>
      <c r="AQ142" s="65">
        <v>0</v>
      </c>
      <c r="AR142" s="65">
        <v>0</v>
      </c>
      <c r="AS142" s="118">
        <v>0</v>
      </c>
      <c r="AT142" s="62">
        <f t="shared" ref="AT142:AT147" si="271">+AP142+AQ142+AR142-AS142</f>
        <v>0</v>
      </c>
      <c r="AU142" s="25">
        <f t="shared" si="41"/>
        <v>0</v>
      </c>
      <c r="AV142" s="25">
        <f t="shared" si="48"/>
        <v>0</v>
      </c>
      <c r="AW142" s="25">
        <v>0</v>
      </c>
      <c r="AX142" s="25">
        <f t="shared" ref="AX142" si="272">+AT142+AU142+AV142-AW142</f>
        <v>0</v>
      </c>
      <c r="AY142" s="152"/>
      <c r="AZ142" s="152"/>
      <c r="BA142" s="152"/>
      <c r="BB142" s="152"/>
      <c r="BC142" s="122">
        <f t="shared" ref="BC142" si="273">SUM(X142:AA142)+AB142+AG142+AK142+AO142+AS142+AW142</f>
        <v>0</v>
      </c>
    </row>
    <row r="143" spans="2:55" ht="22.8" thickBot="1" x14ac:dyDescent="0.55000000000000004">
      <c r="B143" s="1" t="s">
        <v>165</v>
      </c>
      <c r="C143" s="3" t="s">
        <v>15</v>
      </c>
      <c r="D143" s="2">
        <v>45358</v>
      </c>
      <c r="E143" s="4">
        <v>0</v>
      </c>
      <c r="F143" s="4">
        <f t="shared" ref="F143" si="274">+E143*$C$1</f>
        <v>0</v>
      </c>
      <c r="G143" s="4">
        <f>+'BIENIOS DEPARTAMENTO DE SALUD'!BC143</f>
        <v>303</v>
      </c>
      <c r="H143" s="35">
        <f t="shared" ref="H143" si="275">+F143+G143</f>
        <v>303</v>
      </c>
      <c r="I143" s="63">
        <v>15</v>
      </c>
      <c r="J143" s="82"/>
      <c r="K143" s="6"/>
      <c r="L143" s="54">
        <v>46088</v>
      </c>
      <c r="M143" s="36"/>
      <c r="N143" s="48" t="s">
        <v>73</v>
      </c>
      <c r="W143" s="99" t="s">
        <v>165</v>
      </c>
      <c r="X143" s="123">
        <v>303</v>
      </c>
      <c r="Y143" s="100">
        <v>0</v>
      </c>
      <c r="Z143" s="44">
        <v>0</v>
      </c>
      <c r="AA143" s="44">
        <v>0</v>
      </c>
      <c r="AB143" s="44">
        <v>0</v>
      </c>
      <c r="AC143" s="101">
        <v>0</v>
      </c>
      <c r="AD143" s="102">
        <f>+AC143-AB143</f>
        <v>0</v>
      </c>
      <c r="AE143" s="103">
        <v>0</v>
      </c>
      <c r="AF143" s="103">
        <v>0</v>
      </c>
      <c r="AG143" s="44">
        <v>0</v>
      </c>
      <c r="AH143" s="104">
        <f t="shared" si="268"/>
        <v>0</v>
      </c>
      <c r="AI143" s="103">
        <v>0</v>
      </c>
      <c r="AJ143" s="103">
        <v>0</v>
      </c>
      <c r="AK143" s="44">
        <v>0</v>
      </c>
      <c r="AL143" s="105">
        <f t="shared" si="269"/>
        <v>0</v>
      </c>
      <c r="AM143" s="103">
        <v>0</v>
      </c>
      <c r="AN143" s="103">
        <v>0</v>
      </c>
      <c r="AO143" s="106">
        <v>0</v>
      </c>
      <c r="AP143" s="107">
        <f t="shared" si="270"/>
        <v>0</v>
      </c>
      <c r="AQ143" s="108">
        <v>0</v>
      </c>
      <c r="AR143" s="108">
        <v>0</v>
      </c>
      <c r="AS143" s="120">
        <v>0</v>
      </c>
      <c r="AT143" s="107">
        <f t="shared" si="271"/>
        <v>0</v>
      </c>
      <c r="AU143" s="25">
        <f t="shared" si="214"/>
        <v>0</v>
      </c>
      <c r="AV143" s="25">
        <f t="shared" ref="AV143:AV151" si="276">+(0)+(0)+(0)+(0)+(0)+(0)+(0)+(0)</f>
        <v>0</v>
      </c>
      <c r="AW143" s="25">
        <v>0</v>
      </c>
      <c r="AX143" s="25">
        <f t="shared" ref="AX143" si="277">+AT143+AU143+AV143-AW143</f>
        <v>0</v>
      </c>
      <c r="AY143" s="152"/>
      <c r="AZ143" s="152"/>
      <c r="BA143" s="152"/>
      <c r="BB143" s="152"/>
      <c r="BC143" s="122">
        <f t="shared" ref="BC143" si="278">SUM(X143:AA143)+AB143+AG143+AK143+AO143+AS143+AW143</f>
        <v>303</v>
      </c>
    </row>
    <row r="144" spans="2:55" ht="22.8" thickBot="1" x14ac:dyDescent="0.55000000000000004">
      <c r="B144" s="1" t="s">
        <v>83</v>
      </c>
      <c r="C144" s="3" t="s">
        <v>13</v>
      </c>
      <c r="D144" s="2">
        <v>44265</v>
      </c>
      <c r="E144" s="4">
        <v>1</v>
      </c>
      <c r="F144" s="4">
        <f>+E144*$C$1</f>
        <v>533.33000000000004</v>
      </c>
      <c r="G144" s="4">
        <f t="shared" ref="G144" si="279">+BC144</f>
        <v>384</v>
      </c>
      <c r="H144" s="35">
        <f t="shared" ref="H144" si="280">+F144+G144</f>
        <v>917.33</v>
      </c>
      <c r="I144" s="63">
        <v>14</v>
      </c>
      <c r="J144" s="82"/>
      <c r="K144" s="6"/>
      <c r="L144" s="38">
        <v>45726</v>
      </c>
      <c r="M144" s="36"/>
      <c r="N144" s="48" t="s">
        <v>73</v>
      </c>
      <c r="W144" s="1" t="s">
        <v>83</v>
      </c>
      <c r="X144" s="31">
        <v>0</v>
      </c>
      <c r="Y144" s="31">
        <v>0</v>
      </c>
      <c r="Z144" s="32">
        <v>0</v>
      </c>
      <c r="AA144" s="32">
        <v>0</v>
      </c>
      <c r="AB144" s="32">
        <v>0</v>
      </c>
      <c r="AC144" s="25">
        <v>0</v>
      </c>
      <c r="AD144" s="22">
        <f>+AC144-AB144</f>
        <v>0</v>
      </c>
      <c r="AE144" s="43">
        <v>0</v>
      </c>
      <c r="AF144" s="43">
        <v>0</v>
      </c>
      <c r="AG144" s="32">
        <v>0</v>
      </c>
      <c r="AH144" s="12">
        <f t="shared" si="268"/>
        <v>0</v>
      </c>
      <c r="AI144" s="43">
        <f t="shared" si="19"/>
        <v>0</v>
      </c>
      <c r="AJ144" s="43">
        <f>+(78)+(0)+(0)+(0)+(78)+(0)</f>
        <v>156</v>
      </c>
      <c r="AK144" s="32">
        <v>120</v>
      </c>
      <c r="AL144" s="25">
        <f t="shared" si="269"/>
        <v>36</v>
      </c>
      <c r="AM144" s="43">
        <f t="shared" si="20"/>
        <v>0</v>
      </c>
      <c r="AN144" s="43">
        <f t="shared" si="20"/>
        <v>0</v>
      </c>
      <c r="AO144" s="59">
        <v>36</v>
      </c>
      <c r="AP144" s="62">
        <f t="shared" si="270"/>
        <v>0</v>
      </c>
      <c r="AQ144" s="65">
        <f>+(0)+(0)+(0)+(0)+(0)+(108)</f>
        <v>108</v>
      </c>
      <c r="AR144" s="65">
        <f t="shared" si="74"/>
        <v>0</v>
      </c>
      <c r="AS144" s="118">
        <v>108</v>
      </c>
      <c r="AT144" s="62">
        <f t="shared" si="271"/>
        <v>0</v>
      </c>
      <c r="AU144" s="25">
        <f>+(33)+(0)+(0)+(115.8)</f>
        <v>148.80000000000001</v>
      </c>
      <c r="AV144" s="25">
        <f>+(0)+(0)+(96)+(0)+(0)+(0)+(0)+(0)</f>
        <v>96</v>
      </c>
      <c r="AW144" s="25">
        <v>120</v>
      </c>
      <c r="AX144" s="25">
        <f>+AT144+AU144+AV144-AW144</f>
        <v>124.80000000000001</v>
      </c>
      <c r="AY144" s="152"/>
      <c r="AZ144" s="152"/>
      <c r="BA144" s="152"/>
      <c r="BB144" s="152"/>
      <c r="BC144" s="122">
        <f>SUM(X144:AA144)+AB144+AG144+AK144+AO144+AS144+AW144</f>
        <v>384</v>
      </c>
    </row>
    <row r="145" spans="2:55" ht="22.8" thickBot="1" x14ac:dyDescent="0.55000000000000004">
      <c r="B145" s="1" t="s">
        <v>168</v>
      </c>
      <c r="C145" s="3" t="s">
        <v>26</v>
      </c>
      <c r="D145" s="2">
        <v>45400</v>
      </c>
      <c r="E145" s="4">
        <v>0</v>
      </c>
      <c r="F145" s="4">
        <f t="shared" ref="F145" si="281">+E145*$C$1</f>
        <v>0</v>
      </c>
      <c r="G145" s="4">
        <f t="shared" ref="G145" si="282">+BC145</f>
        <v>0</v>
      </c>
      <c r="H145" s="35">
        <f t="shared" ref="H145" si="283">+F145+G145</f>
        <v>0</v>
      </c>
      <c r="I145" s="63">
        <v>15</v>
      </c>
      <c r="J145" s="82"/>
      <c r="K145" s="6"/>
      <c r="L145" s="54">
        <v>46130</v>
      </c>
      <c r="M145" s="36"/>
      <c r="N145" s="48" t="s">
        <v>73</v>
      </c>
      <c r="W145" s="1" t="s">
        <v>168</v>
      </c>
      <c r="X145" s="34">
        <v>0</v>
      </c>
      <c r="Y145" s="31">
        <v>0</v>
      </c>
      <c r="Z145" s="32">
        <v>0</v>
      </c>
      <c r="AA145" s="32">
        <v>0</v>
      </c>
      <c r="AB145" s="32">
        <v>0</v>
      </c>
      <c r="AC145" s="25">
        <v>0</v>
      </c>
      <c r="AD145" s="22">
        <f>+AC145-AB145</f>
        <v>0</v>
      </c>
      <c r="AE145" s="43">
        <v>0</v>
      </c>
      <c r="AF145" s="43">
        <v>0</v>
      </c>
      <c r="AG145" s="32">
        <v>0</v>
      </c>
      <c r="AH145" s="12">
        <f t="shared" si="268"/>
        <v>0</v>
      </c>
      <c r="AI145" s="43">
        <v>0</v>
      </c>
      <c r="AJ145" s="43">
        <v>0</v>
      </c>
      <c r="AK145" s="32">
        <v>0</v>
      </c>
      <c r="AL145" s="25">
        <f t="shared" si="269"/>
        <v>0</v>
      </c>
      <c r="AM145" s="43">
        <v>0</v>
      </c>
      <c r="AN145" s="43">
        <v>0</v>
      </c>
      <c r="AO145" s="59">
        <v>0</v>
      </c>
      <c r="AP145" s="62">
        <f t="shared" si="270"/>
        <v>0</v>
      </c>
      <c r="AQ145" s="65">
        <v>0</v>
      </c>
      <c r="AR145" s="65">
        <v>0</v>
      </c>
      <c r="AS145" s="118">
        <v>0</v>
      </c>
      <c r="AT145" s="62">
        <f t="shared" si="271"/>
        <v>0</v>
      </c>
      <c r="AU145" s="25">
        <f t="shared" si="41"/>
        <v>0</v>
      </c>
      <c r="AV145" s="25">
        <f t="shared" si="48"/>
        <v>0</v>
      </c>
      <c r="AW145" s="25">
        <v>0</v>
      </c>
      <c r="AX145" s="25">
        <f t="shared" ref="AX145" si="284">+AT145+AU145+AV145-AW145</f>
        <v>0</v>
      </c>
      <c r="AY145" s="152"/>
      <c r="AZ145" s="152"/>
      <c r="BA145" s="152"/>
      <c r="BB145" s="152"/>
      <c r="BC145" s="122">
        <f t="shared" ref="BC145" si="285">SUM(X145:AA145)+AB145+AG145+AK145+AO145+AS145+AW145</f>
        <v>0</v>
      </c>
    </row>
    <row r="146" spans="2:55" ht="22.8" thickBot="1" x14ac:dyDescent="0.55000000000000004">
      <c r="B146" s="1" t="s">
        <v>141</v>
      </c>
      <c r="C146" s="3" t="s">
        <v>13</v>
      </c>
      <c r="D146" s="2">
        <v>45110</v>
      </c>
      <c r="E146" s="18">
        <v>0</v>
      </c>
      <c r="F146" s="4">
        <f t="shared" ref="F146" si="286">+E146*$C$1</f>
        <v>0</v>
      </c>
      <c r="G146" s="4">
        <f t="shared" ref="G146" si="287">+BC146</f>
        <v>120</v>
      </c>
      <c r="H146" s="35">
        <f t="shared" ref="H146" si="288">+F146+G146</f>
        <v>120</v>
      </c>
      <c r="I146" s="63">
        <v>15</v>
      </c>
      <c r="J146" s="82"/>
      <c r="K146" s="6"/>
      <c r="L146" s="54">
        <v>45841</v>
      </c>
      <c r="M146" s="36"/>
      <c r="N146" s="48" t="s">
        <v>73</v>
      </c>
      <c r="W146" s="1" t="s">
        <v>141</v>
      </c>
      <c r="X146" s="68">
        <v>0</v>
      </c>
      <c r="Y146" s="31">
        <v>0</v>
      </c>
      <c r="Z146" s="32">
        <v>0</v>
      </c>
      <c r="AA146" s="32">
        <v>0</v>
      </c>
      <c r="AB146" s="32">
        <v>0</v>
      </c>
      <c r="AC146" s="25">
        <v>0</v>
      </c>
      <c r="AD146" s="22">
        <f>+AC146-AB146</f>
        <v>0</v>
      </c>
      <c r="AE146" s="43">
        <v>0</v>
      </c>
      <c r="AF146" s="43">
        <v>0</v>
      </c>
      <c r="AG146" s="32">
        <v>0</v>
      </c>
      <c r="AH146" s="12">
        <f t="shared" si="268"/>
        <v>0</v>
      </c>
      <c r="AI146" s="43">
        <v>0</v>
      </c>
      <c r="AJ146" s="43">
        <v>0</v>
      </c>
      <c r="AK146" s="32">
        <v>0</v>
      </c>
      <c r="AL146" s="25">
        <f t="shared" si="269"/>
        <v>0</v>
      </c>
      <c r="AM146" s="43">
        <v>0</v>
      </c>
      <c r="AN146" s="43">
        <v>0</v>
      </c>
      <c r="AO146" s="59">
        <v>0</v>
      </c>
      <c r="AP146" s="62">
        <f t="shared" si="270"/>
        <v>0</v>
      </c>
      <c r="AQ146" s="65">
        <f t="shared" si="10"/>
        <v>0</v>
      </c>
      <c r="AR146" s="65">
        <f t="shared" si="10"/>
        <v>0</v>
      </c>
      <c r="AS146" s="118">
        <v>0</v>
      </c>
      <c r="AT146" s="62">
        <f t="shared" si="271"/>
        <v>0</v>
      </c>
      <c r="AU146" s="25">
        <f>+(0)+(0)+(0)+(0)</f>
        <v>0</v>
      </c>
      <c r="AV146" s="25">
        <f>+(0)+(0)+(174)+(0)+(0)+(0)+(0)+(0)</f>
        <v>174</v>
      </c>
      <c r="AW146" s="25">
        <v>120</v>
      </c>
      <c r="AX146" s="25">
        <f t="shared" ref="AX146:AX151" si="289">+AT146+AU146+AV146-AW146</f>
        <v>54</v>
      </c>
      <c r="AY146" s="152"/>
      <c r="AZ146" s="152"/>
      <c r="BA146" s="152"/>
      <c r="BB146" s="152"/>
      <c r="BC146" s="122">
        <f>SUM(X146:AA146)+AB146+AG146+AK146+AO146+AS146+AW146</f>
        <v>120</v>
      </c>
    </row>
    <row r="147" spans="2:55" ht="25.8" thickBot="1" x14ac:dyDescent="0.65">
      <c r="B147" s="1" t="s">
        <v>119</v>
      </c>
      <c r="C147" s="3" t="s">
        <v>18</v>
      </c>
      <c r="D147" s="2">
        <v>44875</v>
      </c>
      <c r="E147" s="18">
        <v>1</v>
      </c>
      <c r="F147" s="4">
        <f>+E147*$C$1</f>
        <v>533.33000000000004</v>
      </c>
      <c r="G147" s="155">
        <f>+BC147</f>
        <v>330</v>
      </c>
      <c r="H147" s="35">
        <f t="shared" ref="H147" si="290">+F147+G147</f>
        <v>863.33</v>
      </c>
      <c r="I147" s="63">
        <v>14</v>
      </c>
      <c r="J147" s="82">
        <v>14</v>
      </c>
      <c r="K147" s="156" t="s">
        <v>70</v>
      </c>
      <c r="L147" s="141">
        <v>46336</v>
      </c>
      <c r="M147" s="36"/>
      <c r="N147" s="48" t="s">
        <v>73</v>
      </c>
      <c r="W147" s="1" t="s">
        <v>119</v>
      </c>
      <c r="X147" s="31">
        <v>0</v>
      </c>
      <c r="Y147" s="31">
        <v>0</v>
      </c>
      <c r="Z147" s="32">
        <v>0</v>
      </c>
      <c r="AA147" s="32">
        <v>0</v>
      </c>
      <c r="AB147" s="32">
        <v>0</v>
      </c>
      <c r="AC147" s="25">
        <v>0</v>
      </c>
      <c r="AD147" s="22">
        <v>0</v>
      </c>
      <c r="AE147" s="43">
        <v>0</v>
      </c>
      <c r="AF147" s="43">
        <v>0</v>
      </c>
      <c r="AG147" s="32">
        <v>0</v>
      </c>
      <c r="AH147" s="12">
        <f t="shared" si="268"/>
        <v>0</v>
      </c>
      <c r="AI147" s="43">
        <v>0</v>
      </c>
      <c r="AJ147" s="43">
        <v>0</v>
      </c>
      <c r="AK147" s="32">
        <v>0</v>
      </c>
      <c r="AL147" s="25">
        <f t="shared" si="269"/>
        <v>0</v>
      </c>
      <c r="AM147" s="43">
        <f t="shared" si="20"/>
        <v>0</v>
      </c>
      <c r="AN147" s="43">
        <f t="shared" si="20"/>
        <v>0</v>
      </c>
      <c r="AO147" s="59">
        <v>0</v>
      </c>
      <c r="AP147" s="62">
        <f t="shared" si="270"/>
        <v>0</v>
      </c>
      <c r="AQ147" s="65">
        <f>+(108)+(0)+(0)+(0)+(54)+(0)</f>
        <v>162</v>
      </c>
      <c r="AR147" s="65">
        <f t="shared" si="10"/>
        <v>0</v>
      </c>
      <c r="AS147" s="118">
        <v>150</v>
      </c>
      <c r="AT147" s="62">
        <f t="shared" si="271"/>
        <v>12</v>
      </c>
      <c r="AU147" s="25">
        <f>+(0)+(0)+(0)+(78)</f>
        <v>78</v>
      </c>
      <c r="AV147" s="25">
        <f>+(0)+(0)+(0)+(90)+(0)+(0)+(0)+(0)</f>
        <v>90</v>
      </c>
      <c r="AW147" s="25">
        <v>150</v>
      </c>
      <c r="AX147" s="25">
        <f t="shared" si="289"/>
        <v>30</v>
      </c>
      <c r="AY147" s="151">
        <f t="shared" si="13"/>
        <v>0</v>
      </c>
      <c r="AZ147" s="151">
        <f t="shared" si="14"/>
        <v>0</v>
      </c>
      <c r="BA147" s="151">
        <v>30</v>
      </c>
      <c r="BB147" s="32">
        <f t="shared" ref="BB147:BB152" si="291">(AX147+AY147+AZ147)-BA147</f>
        <v>0</v>
      </c>
      <c r="BC147" s="154">
        <f t="shared" ref="BC147:BC152" si="292">SUM(X147:AA147)+AB147+AG147+AK147+AO147+AS147+AW147+BA147</f>
        <v>330</v>
      </c>
    </row>
    <row r="148" spans="2:55" ht="25.8" thickBot="1" x14ac:dyDescent="0.65">
      <c r="B148" s="1" t="s">
        <v>146</v>
      </c>
      <c r="C148" s="3" t="s">
        <v>18</v>
      </c>
      <c r="D148" s="2">
        <v>45181</v>
      </c>
      <c r="E148" s="18">
        <v>1</v>
      </c>
      <c r="F148" s="4">
        <f t="shared" ref="F148" si="293">+E148*$C$1</f>
        <v>533.33000000000004</v>
      </c>
      <c r="G148" s="4">
        <f t="shared" ref="G148" si="294">+BC148</f>
        <v>0</v>
      </c>
      <c r="H148" s="35">
        <f t="shared" ref="H148" si="295">+F148+G148</f>
        <v>533.33000000000004</v>
      </c>
      <c r="I148" s="63">
        <v>15</v>
      </c>
      <c r="J148" s="82">
        <v>15</v>
      </c>
      <c r="K148" s="156" t="s">
        <v>70</v>
      </c>
      <c r="L148" s="54">
        <v>46426</v>
      </c>
      <c r="M148" s="36"/>
      <c r="N148" s="48" t="s">
        <v>73</v>
      </c>
      <c r="W148" s="1" t="s">
        <v>146</v>
      </c>
      <c r="X148" s="33">
        <v>0</v>
      </c>
      <c r="Y148" s="31">
        <v>0</v>
      </c>
      <c r="Z148" s="32">
        <v>0</v>
      </c>
      <c r="AA148" s="32">
        <v>0</v>
      </c>
      <c r="AB148" s="32">
        <v>0</v>
      </c>
      <c r="AC148" s="25">
        <v>0</v>
      </c>
      <c r="AD148" s="22">
        <f>+AC148-AB148</f>
        <v>0</v>
      </c>
      <c r="AE148" s="43">
        <v>0</v>
      </c>
      <c r="AF148" s="43">
        <v>0</v>
      </c>
      <c r="AG148" s="32">
        <v>0</v>
      </c>
      <c r="AH148" s="12">
        <f>+AD148+(AE148+AF148)-AG148</f>
        <v>0</v>
      </c>
      <c r="AI148" s="43">
        <v>0</v>
      </c>
      <c r="AJ148" s="43">
        <v>0</v>
      </c>
      <c r="AK148" s="32">
        <v>0</v>
      </c>
      <c r="AL148" s="25">
        <f>+AH148+AI148+AJ148-AK148</f>
        <v>0</v>
      </c>
      <c r="AM148" s="43">
        <v>0</v>
      </c>
      <c r="AN148" s="43">
        <v>0</v>
      </c>
      <c r="AO148" s="59">
        <v>0</v>
      </c>
      <c r="AP148" s="62">
        <f>+AL148+AM148+AN148-AO148</f>
        <v>0</v>
      </c>
      <c r="AQ148" s="65">
        <v>0</v>
      </c>
      <c r="AR148" s="65">
        <v>0</v>
      </c>
      <c r="AS148" s="118">
        <v>0</v>
      </c>
      <c r="AT148" s="62">
        <f>+AP148+AQ148+AR148-AS148</f>
        <v>0</v>
      </c>
      <c r="AU148" s="25">
        <v>0</v>
      </c>
      <c r="AV148" s="25">
        <v>0</v>
      </c>
      <c r="AW148" s="25">
        <v>0</v>
      </c>
      <c r="AX148" s="25">
        <f t="shared" si="289"/>
        <v>0</v>
      </c>
      <c r="AY148" s="151">
        <f t="shared" si="13"/>
        <v>0</v>
      </c>
      <c r="AZ148" s="151">
        <f t="shared" si="14"/>
        <v>0</v>
      </c>
      <c r="BA148" s="51">
        <v>0</v>
      </c>
      <c r="BB148" s="51">
        <f t="shared" si="291"/>
        <v>0</v>
      </c>
      <c r="BC148" s="188">
        <f t="shared" si="292"/>
        <v>0</v>
      </c>
    </row>
    <row r="149" spans="2:55" ht="25.8" thickBot="1" x14ac:dyDescent="0.65">
      <c r="B149" s="1" t="s">
        <v>98</v>
      </c>
      <c r="C149" s="3" t="s">
        <v>15</v>
      </c>
      <c r="D149" s="2">
        <v>44562</v>
      </c>
      <c r="E149" s="4">
        <v>1</v>
      </c>
      <c r="F149" s="4">
        <f>+E149*$C$1</f>
        <v>533.33000000000004</v>
      </c>
      <c r="G149" s="4">
        <f>+BC149</f>
        <v>372</v>
      </c>
      <c r="H149" s="35">
        <f>+F149+G149</f>
        <v>905.33</v>
      </c>
      <c r="I149" s="63">
        <v>14</v>
      </c>
      <c r="J149" s="82">
        <v>14</v>
      </c>
      <c r="K149" s="6"/>
      <c r="L149" s="38">
        <v>46023</v>
      </c>
      <c r="M149" s="36"/>
      <c r="N149" s="48" t="s">
        <v>73</v>
      </c>
      <c r="W149" s="1" t="s">
        <v>98</v>
      </c>
      <c r="X149" s="31">
        <v>0</v>
      </c>
      <c r="Y149" s="31">
        <v>0</v>
      </c>
      <c r="Z149" s="32">
        <v>0</v>
      </c>
      <c r="AA149" s="32">
        <v>0</v>
      </c>
      <c r="AB149" s="32">
        <v>0</v>
      </c>
      <c r="AC149" s="25">
        <v>0</v>
      </c>
      <c r="AD149" s="22">
        <f>+AC149-AB149</f>
        <v>0</v>
      </c>
      <c r="AE149" s="43">
        <v>0</v>
      </c>
      <c r="AF149" s="43">
        <v>0</v>
      </c>
      <c r="AG149" s="32">
        <v>0</v>
      </c>
      <c r="AH149" s="12">
        <f>+AD149+(AE149+AF149)-AG149</f>
        <v>0</v>
      </c>
      <c r="AI149" s="43">
        <v>0</v>
      </c>
      <c r="AJ149" s="43">
        <v>0</v>
      </c>
      <c r="AK149" s="32">
        <v>0</v>
      </c>
      <c r="AL149" s="25">
        <f>+AH149+AI149+AJ149-AK149</f>
        <v>0</v>
      </c>
      <c r="AM149" s="43">
        <f t="shared" si="20"/>
        <v>0</v>
      </c>
      <c r="AN149" s="43">
        <f t="shared" si="20"/>
        <v>0</v>
      </c>
      <c r="AO149" s="59">
        <v>0</v>
      </c>
      <c r="AP149" s="62">
        <f>+AL149+AM149+AN149-AO149</f>
        <v>0</v>
      </c>
      <c r="AQ149" s="65">
        <f t="shared" si="74"/>
        <v>0</v>
      </c>
      <c r="AR149" s="65">
        <f>+(120)+(0)+(0)+(0)+(0)+(0)</f>
        <v>120</v>
      </c>
      <c r="AS149" s="118">
        <v>120</v>
      </c>
      <c r="AT149" s="62">
        <f>+AP149+AQ149+AR149-AS149</f>
        <v>0</v>
      </c>
      <c r="AU149" s="25">
        <f>+(0)+(0)+(96)+(78)</f>
        <v>174</v>
      </c>
      <c r="AV149" s="25">
        <f t="shared" si="48"/>
        <v>0</v>
      </c>
      <c r="AW149" s="25">
        <v>150</v>
      </c>
      <c r="AX149" s="25">
        <f t="shared" si="289"/>
        <v>24</v>
      </c>
      <c r="AY149" s="151">
        <f>+(0)+(0)+(0)+(78)</f>
        <v>78</v>
      </c>
      <c r="AZ149" s="151">
        <f t="shared" si="14"/>
        <v>0</v>
      </c>
      <c r="BA149" s="51">
        <v>102</v>
      </c>
      <c r="BB149" s="51">
        <f t="shared" si="291"/>
        <v>0</v>
      </c>
      <c r="BC149" s="188">
        <f t="shared" si="292"/>
        <v>372</v>
      </c>
    </row>
    <row r="150" spans="2:55" ht="25.8" thickBot="1" x14ac:dyDescent="0.65">
      <c r="B150" s="1" t="s">
        <v>170</v>
      </c>
      <c r="C150" s="3" t="s">
        <v>18</v>
      </c>
      <c r="D150" s="8">
        <v>45469</v>
      </c>
      <c r="E150" s="4">
        <v>0</v>
      </c>
      <c r="F150" s="4">
        <f>+E150*$C$1</f>
        <v>0</v>
      </c>
      <c r="G150" s="4">
        <f t="shared" ref="G150" si="296">+BC150</f>
        <v>0</v>
      </c>
      <c r="H150" s="35">
        <f t="shared" ref="H150" si="297">+F150+G150</f>
        <v>0</v>
      </c>
      <c r="I150" s="63">
        <v>15</v>
      </c>
      <c r="J150" s="82">
        <v>15</v>
      </c>
      <c r="K150" s="6"/>
      <c r="L150" s="38">
        <v>46199</v>
      </c>
      <c r="M150" s="36"/>
      <c r="N150" s="48" t="s">
        <v>73</v>
      </c>
      <c r="W150" s="1" t="s">
        <v>170</v>
      </c>
      <c r="X150" s="31"/>
      <c r="Y150" s="31"/>
      <c r="Z150" s="32"/>
      <c r="AA150" s="32"/>
      <c r="AB150" s="32"/>
      <c r="AC150" s="25"/>
      <c r="AD150" s="22"/>
      <c r="AE150" s="43"/>
      <c r="AF150" s="43"/>
      <c r="AG150" s="32"/>
      <c r="AH150" s="12"/>
      <c r="AI150" s="43"/>
      <c r="AJ150" s="43"/>
      <c r="AK150" s="32"/>
      <c r="AL150" s="25"/>
      <c r="AM150" s="43"/>
      <c r="AN150" s="43"/>
      <c r="AO150" s="59"/>
      <c r="AP150" s="62"/>
      <c r="AQ150" s="65"/>
      <c r="AR150" s="65"/>
      <c r="AS150" s="118"/>
      <c r="AT150" s="62"/>
      <c r="AU150" s="25">
        <f t="shared" si="41"/>
        <v>0</v>
      </c>
      <c r="AV150" s="25">
        <f t="shared" si="48"/>
        <v>0</v>
      </c>
      <c r="AW150" s="25">
        <v>0</v>
      </c>
      <c r="AX150" s="25">
        <f t="shared" si="289"/>
        <v>0</v>
      </c>
      <c r="AY150" s="151">
        <f t="shared" si="13"/>
        <v>0</v>
      </c>
      <c r="AZ150" s="151">
        <f t="shared" si="14"/>
        <v>0</v>
      </c>
      <c r="BA150" s="51">
        <v>0</v>
      </c>
      <c r="BB150" s="51">
        <f t="shared" si="291"/>
        <v>0</v>
      </c>
      <c r="BC150" s="188">
        <f t="shared" si="292"/>
        <v>0</v>
      </c>
    </row>
    <row r="151" spans="2:55" ht="25.8" thickBot="1" x14ac:dyDescent="0.65">
      <c r="B151" s="1" t="s">
        <v>149</v>
      </c>
      <c r="C151" s="3" t="s">
        <v>21</v>
      </c>
      <c r="D151" s="2">
        <v>45204</v>
      </c>
      <c r="E151" s="4">
        <v>0</v>
      </c>
      <c r="F151" s="4">
        <f>+E151*$C$1</f>
        <v>0</v>
      </c>
      <c r="G151" s="4">
        <f>+'BIENIOS DEPARTAMENTO DE SALUD'!BC151</f>
        <v>0</v>
      </c>
      <c r="H151" s="35">
        <f t="shared" ref="H151" si="298">+F151+G151</f>
        <v>0</v>
      </c>
      <c r="I151" s="63">
        <v>15</v>
      </c>
      <c r="J151" s="82">
        <v>15</v>
      </c>
      <c r="K151" s="6"/>
      <c r="L151" s="54">
        <v>45935</v>
      </c>
      <c r="M151" s="36"/>
      <c r="N151" s="48" t="s">
        <v>73</v>
      </c>
      <c r="W151" s="99" t="s">
        <v>149</v>
      </c>
      <c r="X151" s="100">
        <v>0</v>
      </c>
      <c r="Y151" s="100">
        <v>0</v>
      </c>
      <c r="Z151" s="44">
        <v>0</v>
      </c>
      <c r="AA151" s="44">
        <v>0</v>
      </c>
      <c r="AB151" s="44">
        <v>0</v>
      </c>
      <c r="AC151" s="101">
        <v>0</v>
      </c>
      <c r="AD151" s="102">
        <f>+AC151-AB151</f>
        <v>0</v>
      </c>
      <c r="AE151" s="103">
        <v>0</v>
      </c>
      <c r="AF151" s="103">
        <v>0</v>
      </c>
      <c r="AG151" s="44">
        <v>0</v>
      </c>
      <c r="AH151" s="104">
        <f>+AD151+(AE151+AF151)-AG151</f>
        <v>0</v>
      </c>
      <c r="AI151" s="103">
        <v>0</v>
      </c>
      <c r="AJ151" s="103">
        <v>0</v>
      </c>
      <c r="AK151" s="44">
        <v>0</v>
      </c>
      <c r="AL151" s="105">
        <f>+AH151+AI151+AJ151-AK151</f>
        <v>0</v>
      </c>
      <c r="AM151" s="103">
        <v>0</v>
      </c>
      <c r="AN151" s="103">
        <v>0</v>
      </c>
      <c r="AO151" s="106">
        <v>0</v>
      </c>
      <c r="AP151" s="107">
        <f>+AL151+AM151+AN151-AO151</f>
        <v>0</v>
      </c>
      <c r="AQ151" s="108">
        <v>0</v>
      </c>
      <c r="AR151" s="108">
        <v>0</v>
      </c>
      <c r="AS151" s="120">
        <v>0</v>
      </c>
      <c r="AT151" s="107">
        <f>+AP151+AQ151+AR151-AS151</f>
        <v>0</v>
      </c>
      <c r="AU151" s="25">
        <f t="shared" si="214"/>
        <v>0</v>
      </c>
      <c r="AV151" s="25">
        <f t="shared" si="276"/>
        <v>0</v>
      </c>
      <c r="AW151" s="25">
        <v>0</v>
      </c>
      <c r="AX151" s="25">
        <f t="shared" si="289"/>
        <v>0</v>
      </c>
      <c r="AY151" s="151">
        <f t="shared" si="165"/>
        <v>0</v>
      </c>
      <c r="AZ151" s="151">
        <f t="shared" si="179"/>
        <v>0</v>
      </c>
      <c r="BA151" s="51">
        <v>0</v>
      </c>
      <c r="BB151" s="51">
        <f t="shared" si="291"/>
        <v>0</v>
      </c>
      <c r="BC151" s="188">
        <f t="shared" si="292"/>
        <v>0</v>
      </c>
    </row>
    <row r="152" spans="2:55" ht="25.8" thickBot="1" x14ac:dyDescent="0.65">
      <c r="B152" s="1" t="s">
        <v>188</v>
      </c>
      <c r="C152" s="3" t="s">
        <v>21</v>
      </c>
      <c r="D152" s="2">
        <v>45712</v>
      </c>
      <c r="E152" s="18">
        <v>0</v>
      </c>
      <c r="F152" s="4">
        <f t="shared" ref="F152" si="299">+E152*$C$1</f>
        <v>0</v>
      </c>
      <c r="G152" s="4">
        <f t="shared" ref="G152" si="300">+BC152</f>
        <v>0</v>
      </c>
      <c r="H152" s="35">
        <f t="shared" ref="H152" si="301">+F152+G152</f>
        <v>0</v>
      </c>
      <c r="I152" s="63">
        <v>15</v>
      </c>
      <c r="J152" s="82">
        <v>15</v>
      </c>
      <c r="K152" s="6"/>
      <c r="L152" s="203" t="s">
        <v>166</v>
      </c>
      <c r="M152" s="6"/>
      <c r="N152" s="48" t="s">
        <v>73</v>
      </c>
      <c r="W152" s="1" t="s">
        <v>188</v>
      </c>
      <c r="X152" s="33"/>
      <c r="Y152" s="31"/>
      <c r="Z152" s="32"/>
      <c r="AA152" s="32"/>
      <c r="AB152" s="32"/>
      <c r="AC152" s="25"/>
      <c r="AD152" s="22"/>
      <c r="AE152" s="43"/>
      <c r="AF152" s="43"/>
      <c r="AG152" s="32"/>
      <c r="AH152" s="12"/>
      <c r="AI152" s="43"/>
      <c r="AJ152" s="43"/>
      <c r="AK152" s="32"/>
      <c r="AL152" s="25"/>
      <c r="AM152" s="43"/>
      <c r="AN152" s="43"/>
      <c r="AO152" s="59"/>
      <c r="AP152" s="62"/>
      <c r="AQ152" s="65"/>
      <c r="AR152" s="65"/>
      <c r="AS152" s="118"/>
      <c r="AT152" s="62"/>
      <c r="AU152" s="25"/>
      <c r="AV152" s="25"/>
      <c r="AW152" s="25"/>
      <c r="AX152" s="25"/>
      <c r="AY152" s="151">
        <f t="shared" si="13"/>
        <v>0</v>
      </c>
      <c r="AZ152" s="151">
        <f t="shared" si="14"/>
        <v>0</v>
      </c>
      <c r="BA152" s="51">
        <v>0</v>
      </c>
      <c r="BB152" s="51">
        <f t="shared" si="291"/>
        <v>0</v>
      </c>
      <c r="BC152" s="188">
        <f t="shared" si="292"/>
        <v>0</v>
      </c>
    </row>
    <row r="153" spans="2:55" ht="25.8" thickBot="1" x14ac:dyDescent="0.65">
      <c r="B153" s="1" t="s">
        <v>193</v>
      </c>
      <c r="C153" s="3" t="s">
        <v>13</v>
      </c>
      <c r="D153" s="2">
        <v>45719</v>
      </c>
      <c r="E153" s="4">
        <v>0</v>
      </c>
      <c r="F153" s="4">
        <f>+E153*$C$1</f>
        <v>0</v>
      </c>
      <c r="G153" s="4">
        <f>+'BIENIOS DEPARTAMENTO DE SALUD'!BC153</f>
        <v>0</v>
      </c>
      <c r="H153" s="35">
        <f t="shared" ref="H153" si="302">+F153+G153</f>
        <v>0</v>
      </c>
      <c r="I153" s="63">
        <v>15</v>
      </c>
      <c r="J153" s="82">
        <v>15</v>
      </c>
      <c r="K153" s="6"/>
      <c r="L153" s="54">
        <v>46449</v>
      </c>
      <c r="M153" s="36"/>
      <c r="N153" s="48" t="s">
        <v>73</v>
      </c>
      <c r="W153" s="1" t="s">
        <v>193</v>
      </c>
      <c r="X153" s="31"/>
      <c r="Y153" s="31"/>
      <c r="Z153" s="32"/>
      <c r="AA153" s="32"/>
      <c r="AB153" s="32"/>
      <c r="AC153" s="25"/>
      <c r="AD153" s="22"/>
      <c r="AE153" s="43"/>
      <c r="AF153" s="43"/>
      <c r="AG153" s="32"/>
      <c r="AH153" s="12"/>
      <c r="AI153" s="43"/>
      <c r="AJ153" s="43"/>
      <c r="AK153" s="32"/>
      <c r="AL153" s="25"/>
      <c r="AM153" s="43"/>
      <c r="AN153" s="43"/>
      <c r="AO153" s="59"/>
      <c r="AP153" s="62"/>
      <c r="AQ153" s="65"/>
      <c r="AR153" s="65"/>
      <c r="AS153" s="118"/>
      <c r="AT153" s="62"/>
      <c r="AU153" s="25"/>
      <c r="AV153" s="25"/>
      <c r="AW153" s="25"/>
      <c r="AX153" s="25"/>
      <c r="AY153" s="151">
        <f t="shared" si="13"/>
        <v>0</v>
      </c>
      <c r="AZ153" s="151">
        <f t="shared" si="14"/>
        <v>0</v>
      </c>
      <c r="BA153" s="51">
        <v>0</v>
      </c>
      <c r="BB153" s="51">
        <f t="shared" ref="BB153" si="303">(AX153+AY153+AZ153)-BA153</f>
        <v>0</v>
      </c>
      <c r="BC153" s="188">
        <f t="shared" ref="BC153" si="304">SUM(X153:AA153)+AB153+AG153+AK153+AO153+AS153+AW153+BA153</f>
        <v>0</v>
      </c>
    </row>
    <row r="154" spans="2:55" ht="25.8" thickBot="1" x14ac:dyDescent="0.65">
      <c r="B154" s="1" t="s">
        <v>151</v>
      </c>
      <c r="C154" s="3" t="s">
        <v>21</v>
      </c>
      <c r="D154" s="2">
        <v>45232</v>
      </c>
      <c r="E154" s="4">
        <v>0</v>
      </c>
      <c r="F154" s="4">
        <f t="shared" ref="F154" si="305">+E154*$C$1</f>
        <v>0</v>
      </c>
      <c r="G154" s="4">
        <f t="shared" ref="G154" si="306">+BC154</f>
        <v>60</v>
      </c>
      <c r="H154" s="35">
        <f t="shared" ref="H154" si="307">+F154+G154</f>
        <v>60</v>
      </c>
      <c r="I154" s="63">
        <v>15</v>
      </c>
      <c r="J154" s="82">
        <v>15</v>
      </c>
      <c r="K154" s="6"/>
      <c r="L154" s="204">
        <v>45963</v>
      </c>
      <c r="M154" s="6"/>
      <c r="N154" s="48" t="s">
        <v>73</v>
      </c>
      <c r="W154" s="1" t="s">
        <v>152</v>
      </c>
      <c r="X154" s="31">
        <v>0</v>
      </c>
      <c r="Y154" s="31">
        <v>0</v>
      </c>
      <c r="Z154" s="32">
        <v>0</v>
      </c>
      <c r="AA154" s="32">
        <v>0</v>
      </c>
      <c r="AB154" s="32">
        <v>0</v>
      </c>
      <c r="AC154" s="25">
        <v>0</v>
      </c>
      <c r="AD154" s="22">
        <f>+AC154-AB154</f>
        <v>0</v>
      </c>
      <c r="AE154" s="43">
        <v>0</v>
      </c>
      <c r="AF154" s="43">
        <v>0</v>
      </c>
      <c r="AG154" s="32">
        <v>0</v>
      </c>
      <c r="AH154" s="12">
        <f>+AD154+(AE154+AF154)-AG154</f>
        <v>0</v>
      </c>
      <c r="AI154" s="43">
        <v>0</v>
      </c>
      <c r="AJ154" s="43">
        <v>0</v>
      </c>
      <c r="AK154" s="32">
        <v>0</v>
      </c>
      <c r="AL154" s="25">
        <f>+AH154+AI154+AJ154-AK154</f>
        <v>0</v>
      </c>
      <c r="AM154" s="43">
        <v>0</v>
      </c>
      <c r="AN154" s="43">
        <v>0</v>
      </c>
      <c r="AO154" s="59">
        <v>0</v>
      </c>
      <c r="AP154" s="62">
        <f>+AL154+AM154+AN154-AO154</f>
        <v>0</v>
      </c>
      <c r="AQ154" s="65">
        <v>0</v>
      </c>
      <c r="AR154" s="65">
        <v>0</v>
      </c>
      <c r="AS154" s="118">
        <v>0</v>
      </c>
      <c r="AT154" s="62">
        <f>+AP154+AQ154+AR154-AS154</f>
        <v>0</v>
      </c>
      <c r="AU154" s="25">
        <f t="shared" si="41"/>
        <v>0</v>
      </c>
      <c r="AV154" s="25">
        <f t="shared" si="48"/>
        <v>0</v>
      </c>
      <c r="AW154" s="25">
        <v>0</v>
      </c>
      <c r="AX154" s="25">
        <f t="shared" ref="AX154" si="308">+AT154+AU154+AV154-AW154</f>
        <v>0</v>
      </c>
      <c r="AY154" s="151">
        <f t="shared" si="165"/>
        <v>0</v>
      </c>
      <c r="AZ154" s="151">
        <f>+(0)+(0)+(60)+(0)+(0)+(0)+(0)+(0)</f>
        <v>60</v>
      </c>
      <c r="BA154" s="51">
        <v>60</v>
      </c>
      <c r="BB154" s="51">
        <f>(AX154+AY154+AZ154)-BA154</f>
        <v>0</v>
      </c>
      <c r="BC154" s="188">
        <f>SUM(X154:AA154)+AB154+AG154+AK154+AO154+AS154+AW154+BA154</f>
        <v>60</v>
      </c>
    </row>
    <row r="155" spans="2:55" ht="25.8" thickBot="1" x14ac:dyDescent="0.65">
      <c r="B155" s="1" t="s">
        <v>52</v>
      </c>
      <c r="C155" s="3" t="s">
        <v>21</v>
      </c>
      <c r="D155" s="2">
        <v>43165</v>
      </c>
      <c r="E155" s="4">
        <v>3</v>
      </c>
      <c r="F155" s="4">
        <f>+E155*$C$1</f>
        <v>1599.9900000000002</v>
      </c>
      <c r="G155" s="4">
        <f>+BC155</f>
        <v>288.60000000000002</v>
      </c>
      <c r="H155" s="35">
        <f>+F155+G155</f>
        <v>1888.5900000000001</v>
      </c>
      <c r="I155" s="63">
        <v>13</v>
      </c>
      <c r="J155" s="82">
        <v>13</v>
      </c>
      <c r="K155" s="6"/>
      <c r="L155" s="38">
        <v>46087</v>
      </c>
      <c r="M155" s="36"/>
      <c r="N155" s="48" t="s">
        <v>73</v>
      </c>
      <c r="W155" s="1" t="s">
        <v>52</v>
      </c>
      <c r="X155" s="31">
        <v>0</v>
      </c>
      <c r="Y155" s="31">
        <v>0</v>
      </c>
      <c r="Z155" s="32">
        <v>0</v>
      </c>
      <c r="AA155" s="32">
        <v>96</v>
      </c>
      <c r="AB155" s="32">
        <v>0</v>
      </c>
      <c r="AC155" s="25">
        <v>0</v>
      </c>
      <c r="AD155" s="22">
        <f>+AC155-AB155</f>
        <v>0</v>
      </c>
      <c r="AE155" s="43">
        <v>54</v>
      </c>
      <c r="AF155" s="43">
        <f>+(0)+(0)+(0)+(0)+(0)+(54)</f>
        <v>54</v>
      </c>
      <c r="AG155" s="32">
        <v>108</v>
      </c>
      <c r="AH155" s="12">
        <f>+AD155+(AE155+AF155)-AG155</f>
        <v>0</v>
      </c>
      <c r="AI155" s="43">
        <f t="shared" si="19"/>
        <v>0</v>
      </c>
      <c r="AJ155" s="43">
        <f t="shared" si="19"/>
        <v>0</v>
      </c>
      <c r="AK155" s="32">
        <v>0</v>
      </c>
      <c r="AL155" s="55">
        <f>+AH155+AI155+AJ155-AK155</f>
        <v>0</v>
      </c>
      <c r="AM155" s="43">
        <f t="shared" si="20"/>
        <v>0</v>
      </c>
      <c r="AN155" s="43">
        <f t="shared" si="20"/>
        <v>0</v>
      </c>
      <c r="AO155" s="59">
        <v>0</v>
      </c>
      <c r="AP155" s="62">
        <f>+AL155+AM155+AN155-AO155</f>
        <v>0</v>
      </c>
      <c r="AQ155" s="65">
        <f t="shared" si="74"/>
        <v>0</v>
      </c>
      <c r="AR155" s="65">
        <f t="shared" si="74"/>
        <v>0</v>
      </c>
      <c r="AS155" s="118">
        <v>0</v>
      </c>
      <c r="AT155" s="62">
        <f>+AP155+AQ155+AR155-AS155</f>
        <v>0</v>
      </c>
      <c r="AU155" s="25">
        <f>+(0)+(0)+(0)+(54.6)</f>
        <v>54.6</v>
      </c>
      <c r="AV155" s="25">
        <f t="shared" si="48"/>
        <v>0</v>
      </c>
      <c r="AW155" s="25">
        <v>54.6</v>
      </c>
      <c r="AX155" s="25">
        <f>+AT155+AU155+AV155-AW155</f>
        <v>0</v>
      </c>
      <c r="AY155" s="151">
        <f>+(0)+(30)+(0)+(0)</f>
        <v>30</v>
      </c>
      <c r="AZ155" s="151">
        <f t="shared" si="14"/>
        <v>0</v>
      </c>
      <c r="BA155" s="51">
        <v>30</v>
      </c>
      <c r="BB155" s="51">
        <f>(AX155+AY155+AZ155)-BA155</f>
        <v>0</v>
      </c>
      <c r="BC155" s="188">
        <f>SUM(X155:AA155)+AB155+AG155+AK155+AO155+AS155+AW155+BA155</f>
        <v>288.60000000000002</v>
      </c>
    </row>
  </sheetData>
  <autoFilter ref="B8:I98" xr:uid="{00000000-0001-0000-0000-000000000000}"/>
  <pageMargins left="0.70866141732283472" right="0.70866141732283472" top="0.74803149606299213" bottom="0.74803149606299213" header="0.31496062992125984" footer="0.31496062992125984"/>
  <pageSetup scale="53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BIENIOS DEPARTAMENTO DE SALUD</vt:lpstr>
      <vt:lpstr>'BIENIOS DEPARTAMENTO DE SALUD'!Área_de_impresión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Usuario de Windows</cp:lastModifiedBy>
  <cp:lastPrinted>2020-03-09T18:23:40Z</cp:lastPrinted>
  <dcterms:created xsi:type="dcterms:W3CDTF">2016-06-21T14:36:36Z</dcterms:created>
  <dcterms:modified xsi:type="dcterms:W3CDTF">2025-07-29T19:50:01Z</dcterms:modified>
</cp:coreProperties>
</file>