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BIENIOS\"/>
    </mc:Choice>
  </mc:AlternateContent>
  <xr:revisionPtr revIDLastSave="0" documentId="13_ncr:1_{4D062331-6332-471D-AA71-15A9EB4E4475}" xr6:coauthVersionLast="47" xr6:coauthVersionMax="47" xr10:uidLastSave="{00000000-0000-0000-0000-000000000000}"/>
  <bookViews>
    <workbookView xWindow="24" yWindow="600" windowWidth="23016" windowHeight="12360" activeTab="12" xr2:uid="{00000000-000D-0000-FFFF-FFFF00000000}"/>
  </bookViews>
  <sheets>
    <sheet name="2014" sheetId="15" r:id="rId1"/>
    <sheet name="2015" sheetId="16" r:id="rId2"/>
    <sheet name="2016" sheetId="17" r:id="rId3"/>
    <sheet name="2017" sheetId="18" r:id="rId4"/>
    <sheet name="2018" sheetId="19" r:id="rId5"/>
    <sheet name="2019" sheetId="21" r:id="rId6"/>
    <sheet name="2020" sheetId="20" r:id="rId7"/>
    <sheet name="2021" sheetId="23" r:id="rId8"/>
    <sheet name="2022" sheetId="24" r:id="rId9"/>
    <sheet name="2023" sheetId="25" r:id="rId10"/>
    <sheet name="2024" sheetId="26" r:id="rId11"/>
    <sheet name="2025" sheetId="27" r:id="rId12"/>
    <sheet name="2026" sheetId="28" r:id="rId13"/>
  </sheets>
  <definedNames>
    <definedName name="_xlnm.Print_Area" localSheetId="0">'2014'!$A$1:$E$73</definedName>
    <definedName name="_xlnm.Print_Area" localSheetId="1">'2015'!$A$1:$E$148</definedName>
    <definedName name="_xlnm.Print_Area" localSheetId="2">'2016'!$A$1:$E$148</definedName>
    <definedName name="_xlnm.Print_Area" localSheetId="7">'2021'!$A$1:$F$160</definedName>
    <definedName name="_xlnm.Print_Area" localSheetId="8">'2022'!$A$51:$F$90</definedName>
    <definedName name="_xlnm.Print_Area" localSheetId="9">'2023'!$A$1:$F$146</definedName>
    <definedName name="_xlnm.Print_Area" localSheetId="10">'2024'!$A$1:$G$152</definedName>
    <definedName name="_xlnm.Print_Area" localSheetId="11">'2025'!$A$72:$A$84</definedName>
    <definedName name="_xlnm.Print_Area" localSheetId="12">'2026'!$A$1:$G$144</definedName>
  </definedNames>
  <calcPr calcId="191029"/>
</workbook>
</file>

<file path=xl/calcChain.xml><?xml version="1.0" encoding="utf-8"?>
<calcChain xmlns="http://schemas.openxmlformats.org/spreadsheetml/2006/main">
  <c r="E107" i="28" l="1"/>
  <c r="C7" i="28"/>
  <c r="D7" i="28"/>
  <c r="E7" i="28"/>
  <c r="D69" i="28"/>
  <c r="C11" i="28"/>
  <c r="D11" i="28"/>
  <c r="E11" i="28"/>
  <c r="C12" i="28"/>
  <c r="D12" i="28"/>
  <c r="E12" i="28"/>
  <c r="C13" i="28"/>
  <c r="D13" i="28"/>
  <c r="E13" i="28"/>
  <c r="C14" i="28"/>
  <c r="D14" i="28"/>
  <c r="E14" i="28"/>
  <c r="C15" i="28"/>
  <c r="D15" i="28"/>
  <c r="E15" i="28"/>
  <c r="C16" i="28"/>
  <c r="D16" i="28"/>
  <c r="E16" i="28"/>
  <c r="C17" i="28"/>
  <c r="D17" i="28"/>
  <c r="E17" i="28"/>
  <c r="C18" i="28"/>
  <c r="D18" i="28"/>
  <c r="E18" i="28"/>
  <c r="C19" i="28"/>
  <c r="D19" i="28"/>
  <c r="E19" i="28"/>
  <c r="C20" i="28"/>
  <c r="D20" i="28"/>
  <c r="E20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E130" i="28"/>
  <c r="D130" i="28"/>
  <c r="C130" i="28"/>
  <c r="B128" i="28"/>
  <c r="B127" i="28"/>
  <c r="B126" i="28"/>
  <c r="B125" i="28"/>
  <c r="B124" i="28"/>
  <c r="B123" i="28"/>
  <c r="E122" i="28"/>
  <c r="D122" i="28"/>
  <c r="C122" i="28"/>
  <c r="B120" i="28"/>
  <c r="B119" i="28"/>
  <c r="B118" i="28"/>
  <c r="B117" i="28"/>
  <c r="B116" i="28"/>
  <c r="B115" i="28"/>
  <c r="B114" i="28"/>
  <c r="B113" i="28"/>
  <c r="B112" i="28"/>
  <c r="B111" i="28"/>
  <c r="E110" i="28"/>
  <c r="D110" i="28"/>
  <c r="C110" i="28"/>
  <c r="B108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E77" i="28"/>
  <c r="E54" i="28" s="1"/>
  <c r="D77" i="28"/>
  <c r="C77" i="28"/>
  <c r="B75" i="28"/>
  <c r="B74" i="28"/>
  <c r="B73" i="28"/>
  <c r="B72" i="28"/>
  <c r="B71" i="28"/>
  <c r="B70" i="28"/>
  <c r="E69" i="28"/>
  <c r="C69" i="28"/>
  <c r="B67" i="28"/>
  <c r="B66" i="28"/>
  <c r="B65" i="28"/>
  <c r="B64" i="28"/>
  <c r="B63" i="28"/>
  <c r="B62" i="28"/>
  <c r="B61" i="28"/>
  <c r="B60" i="28"/>
  <c r="B59" i="28"/>
  <c r="B58" i="28"/>
  <c r="E57" i="28"/>
  <c r="D57" i="28"/>
  <c r="C57" i="28"/>
  <c r="B55" i="28"/>
  <c r="E43" i="28"/>
  <c r="D43" i="28"/>
  <c r="C43" i="28"/>
  <c r="E42" i="28"/>
  <c r="D42" i="28"/>
  <c r="C42" i="28"/>
  <c r="E41" i="28"/>
  <c r="D41" i="28"/>
  <c r="C41" i="28"/>
  <c r="E40" i="28"/>
  <c r="D40" i="28"/>
  <c r="C40" i="28"/>
  <c r="E39" i="28"/>
  <c r="D39" i="28"/>
  <c r="C39" i="28"/>
  <c r="E38" i="28"/>
  <c r="D38" i="28"/>
  <c r="C38" i="28"/>
  <c r="E37" i="28"/>
  <c r="D37" i="28"/>
  <c r="C37" i="28"/>
  <c r="E36" i="28"/>
  <c r="D36" i="28"/>
  <c r="C36" i="28"/>
  <c r="E35" i="28"/>
  <c r="D35" i="28"/>
  <c r="C35" i="28"/>
  <c r="E34" i="28"/>
  <c r="D34" i="28"/>
  <c r="C34" i="28"/>
  <c r="E33" i="28"/>
  <c r="D33" i="28"/>
  <c r="C33" i="28"/>
  <c r="E32" i="28"/>
  <c r="D32" i="28"/>
  <c r="C32" i="28"/>
  <c r="E31" i="28"/>
  <c r="D31" i="28"/>
  <c r="C31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C104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E112" i="27"/>
  <c r="D112" i="27"/>
  <c r="C112" i="27"/>
  <c r="B110" i="27"/>
  <c r="B109" i="27"/>
  <c r="B108" i="27"/>
  <c r="B107" i="27"/>
  <c r="B106" i="27"/>
  <c r="B105" i="27"/>
  <c r="E104" i="27"/>
  <c r="D104" i="27"/>
  <c r="B103" i="27"/>
  <c r="B102" i="27"/>
  <c r="B101" i="27"/>
  <c r="B100" i="27"/>
  <c r="B99" i="27"/>
  <c r="B98" i="27"/>
  <c r="B97" i="27"/>
  <c r="B96" i="27"/>
  <c r="B95" i="27"/>
  <c r="B94" i="27"/>
  <c r="B93" i="27"/>
  <c r="E92" i="27"/>
  <c r="D92" i="27"/>
  <c r="C92" i="27"/>
  <c r="B90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E71" i="27"/>
  <c r="D71" i="27"/>
  <c r="C71" i="27"/>
  <c r="B69" i="27"/>
  <c r="B68" i="27"/>
  <c r="B67" i="27"/>
  <c r="B66" i="27"/>
  <c r="B65" i="27"/>
  <c r="B64" i="27"/>
  <c r="E63" i="27"/>
  <c r="D63" i="27"/>
  <c r="C63" i="27"/>
  <c r="B61" i="27"/>
  <c r="B60" i="27"/>
  <c r="B59" i="27"/>
  <c r="B58" i="27"/>
  <c r="B57" i="27"/>
  <c r="B56" i="27"/>
  <c r="B55" i="27"/>
  <c r="B54" i="27"/>
  <c r="B53" i="27"/>
  <c r="B52" i="27"/>
  <c r="E51" i="27"/>
  <c r="D51" i="27"/>
  <c r="C51" i="27"/>
  <c r="B49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E13" i="27"/>
  <c r="D13" i="27"/>
  <c r="C13" i="27"/>
  <c r="E12" i="27"/>
  <c r="D12" i="27"/>
  <c r="C12" i="27"/>
  <c r="E11" i="27"/>
  <c r="D11" i="27"/>
  <c r="C11" i="27"/>
  <c r="E7" i="27"/>
  <c r="D7" i="27"/>
  <c r="C7" i="27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28" i="26"/>
  <c r="C27" i="26"/>
  <c r="C26" i="26"/>
  <c r="C25" i="26"/>
  <c r="C24" i="26"/>
  <c r="C23" i="26"/>
  <c r="C73" i="26"/>
  <c r="B24" i="28" l="1"/>
  <c r="B20" i="28"/>
  <c r="B7" i="28"/>
  <c r="B38" i="28"/>
  <c r="B37" i="28"/>
  <c r="B130" i="28"/>
  <c r="B14" i="28"/>
  <c r="B16" i="28"/>
  <c r="B15" i="28"/>
  <c r="B13" i="28"/>
  <c r="D10" i="28"/>
  <c r="B57" i="28"/>
  <c r="B77" i="28"/>
  <c r="G75" i="28"/>
  <c r="B11" i="28"/>
  <c r="B110" i="28"/>
  <c r="G143" i="28"/>
  <c r="B31" i="28"/>
  <c r="B39" i="28"/>
  <c r="D30" i="28"/>
  <c r="B34" i="28"/>
  <c r="B42" i="28"/>
  <c r="E30" i="28"/>
  <c r="B122" i="28"/>
  <c r="B23" i="28"/>
  <c r="G128" i="28"/>
  <c r="G120" i="28"/>
  <c r="D107" i="28"/>
  <c r="B12" i="28"/>
  <c r="B33" i="28"/>
  <c r="B41" i="28"/>
  <c r="B36" i="28"/>
  <c r="D54" i="28"/>
  <c r="G90" i="28"/>
  <c r="B32" i="28"/>
  <c r="B40" i="28"/>
  <c r="B35" i="28"/>
  <c r="B43" i="28"/>
  <c r="E22" i="28"/>
  <c r="B69" i="28"/>
  <c r="B27" i="28"/>
  <c r="B25" i="28"/>
  <c r="C22" i="28"/>
  <c r="B28" i="28"/>
  <c r="B26" i="28"/>
  <c r="B18" i="28"/>
  <c r="B17" i="28"/>
  <c r="G67" i="28"/>
  <c r="C54" i="28"/>
  <c r="B19" i="28"/>
  <c r="E10" i="28"/>
  <c r="D22" i="28"/>
  <c r="C10" i="28"/>
  <c r="C30" i="28"/>
  <c r="C107" i="28"/>
  <c r="B112" i="27"/>
  <c r="B41" i="27"/>
  <c r="G110" i="27"/>
  <c r="G69" i="27"/>
  <c r="B39" i="27"/>
  <c r="B92" i="27"/>
  <c r="B31" i="27"/>
  <c r="B33" i="27"/>
  <c r="B37" i="27"/>
  <c r="B11" i="27"/>
  <c r="D30" i="27"/>
  <c r="C48" i="27"/>
  <c r="E48" i="27"/>
  <c r="D48" i="27"/>
  <c r="C10" i="27"/>
  <c r="B14" i="27"/>
  <c r="B17" i="27"/>
  <c r="B27" i="27"/>
  <c r="B32" i="27"/>
  <c r="B16" i="27"/>
  <c r="B35" i="27"/>
  <c r="B19" i="27"/>
  <c r="B15" i="27"/>
  <c r="B25" i="27"/>
  <c r="B28" i="27"/>
  <c r="B38" i="27"/>
  <c r="B43" i="27"/>
  <c r="B63" i="27"/>
  <c r="B7" i="27"/>
  <c r="B36" i="27"/>
  <c r="D89" i="27"/>
  <c r="E30" i="27"/>
  <c r="B34" i="27"/>
  <c r="E89" i="27"/>
  <c r="G61" i="27"/>
  <c r="B13" i="27"/>
  <c r="B18" i="27"/>
  <c r="D22" i="27"/>
  <c r="B26" i="27"/>
  <c r="G102" i="27"/>
  <c r="E10" i="27"/>
  <c r="E22" i="27"/>
  <c r="C30" i="27"/>
  <c r="G125" i="27"/>
  <c r="C22" i="27"/>
  <c r="B42" i="27"/>
  <c r="B71" i="27"/>
  <c r="G84" i="27"/>
  <c r="C89" i="27"/>
  <c r="B104" i="27"/>
  <c r="B20" i="27"/>
  <c r="B40" i="27"/>
  <c r="B12" i="27"/>
  <c r="B23" i="27"/>
  <c r="B51" i="27"/>
  <c r="D10" i="27"/>
  <c r="B24" i="27"/>
  <c r="D130" i="26"/>
  <c r="B129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E138" i="26"/>
  <c r="D138" i="26"/>
  <c r="C138" i="26"/>
  <c r="B136" i="26"/>
  <c r="B135" i="26"/>
  <c r="B134" i="26"/>
  <c r="B133" i="26"/>
  <c r="B132" i="26"/>
  <c r="B131" i="26"/>
  <c r="E130" i="26"/>
  <c r="C130" i="26"/>
  <c r="B128" i="26"/>
  <c r="B127" i="26"/>
  <c r="B126" i="26"/>
  <c r="B125" i="26"/>
  <c r="B124" i="26"/>
  <c r="B123" i="26"/>
  <c r="B122" i="26"/>
  <c r="B121" i="26"/>
  <c r="B120" i="26"/>
  <c r="B119" i="26"/>
  <c r="E118" i="26"/>
  <c r="D118" i="26"/>
  <c r="C118" i="26"/>
  <c r="B116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E81" i="26"/>
  <c r="D81" i="26"/>
  <c r="C81" i="26"/>
  <c r="B79" i="26"/>
  <c r="B78" i="26"/>
  <c r="B77" i="26"/>
  <c r="B76" i="26"/>
  <c r="B75" i="26"/>
  <c r="B74" i="26"/>
  <c r="E73" i="26"/>
  <c r="D73" i="26"/>
  <c r="B71" i="26"/>
  <c r="B70" i="26"/>
  <c r="B69" i="26"/>
  <c r="B68" i="26"/>
  <c r="B67" i="26"/>
  <c r="B66" i="26"/>
  <c r="B65" i="26"/>
  <c r="B64" i="26"/>
  <c r="B63" i="26"/>
  <c r="B62" i="26"/>
  <c r="E61" i="26"/>
  <c r="D61" i="26"/>
  <c r="C61" i="26"/>
  <c r="B59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E13" i="26"/>
  <c r="D13" i="26"/>
  <c r="C13" i="26"/>
  <c r="E12" i="26"/>
  <c r="D12" i="26"/>
  <c r="C12" i="26"/>
  <c r="E11" i="26"/>
  <c r="D11" i="26"/>
  <c r="C11" i="26"/>
  <c r="E7" i="26"/>
  <c r="D7" i="26"/>
  <c r="C7" i="26"/>
  <c r="B30" i="28" l="1"/>
  <c r="B54" i="28"/>
  <c r="G55" i="28" s="1"/>
  <c r="D6" i="28"/>
  <c r="D8" i="28" s="1"/>
  <c r="G43" i="28"/>
  <c r="G28" i="28"/>
  <c r="B107" i="28"/>
  <c r="G108" i="28" s="1"/>
  <c r="G20" i="28"/>
  <c r="B22" i="28"/>
  <c r="E6" i="28"/>
  <c r="E8" i="28" s="1"/>
  <c r="C6" i="28"/>
  <c r="B10" i="28"/>
  <c r="B22" i="27"/>
  <c r="B48" i="27"/>
  <c r="G49" i="27" s="1"/>
  <c r="G28" i="27"/>
  <c r="B89" i="27"/>
  <c r="G90" i="27" s="1"/>
  <c r="G43" i="27"/>
  <c r="B30" i="27"/>
  <c r="E6" i="27"/>
  <c r="E8" i="27" s="1"/>
  <c r="C6" i="27"/>
  <c r="C8" i="27" s="1"/>
  <c r="G20" i="27"/>
  <c r="D6" i="27"/>
  <c r="D8" i="27" s="1"/>
  <c r="B10" i="27"/>
  <c r="B7" i="26"/>
  <c r="B40" i="26"/>
  <c r="B34" i="26"/>
  <c r="B32" i="26"/>
  <c r="C115" i="26"/>
  <c r="B18" i="26"/>
  <c r="B16" i="26"/>
  <c r="B42" i="26"/>
  <c r="B138" i="26"/>
  <c r="E30" i="26"/>
  <c r="E115" i="26"/>
  <c r="G128" i="26"/>
  <c r="G79" i="26"/>
  <c r="B20" i="26"/>
  <c r="G71" i="26"/>
  <c r="B61" i="26"/>
  <c r="G151" i="26"/>
  <c r="C22" i="26"/>
  <c r="B24" i="26"/>
  <c r="B130" i="26"/>
  <c r="D22" i="26"/>
  <c r="B27" i="26"/>
  <c r="G136" i="26"/>
  <c r="B12" i="26"/>
  <c r="D115" i="26"/>
  <c r="B17" i="26"/>
  <c r="B118" i="26"/>
  <c r="B14" i="26"/>
  <c r="B31" i="26"/>
  <c r="B36" i="26"/>
  <c r="B39" i="26"/>
  <c r="D30" i="26"/>
  <c r="G94" i="26"/>
  <c r="B37" i="26"/>
  <c r="B35" i="26"/>
  <c r="B43" i="26"/>
  <c r="B33" i="26"/>
  <c r="B38" i="26"/>
  <c r="B41" i="26"/>
  <c r="D58" i="26"/>
  <c r="B81" i="26"/>
  <c r="B25" i="26"/>
  <c r="E58" i="26"/>
  <c r="E22" i="26"/>
  <c r="B28" i="26"/>
  <c r="B23" i="26"/>
  <c r="B26" i="26"/>
  <c r="B73" i="26"/>
  <c r="B15" i="26"/>
  <c r="B13" i="26"/>
  <c r="D10" i="26"/>
  <c r="B11" i="26"/>
  <c r="C10" i="26"/>
  <c r="B19" i="26"/>
  <c r="C58" i="26"/>
  <c r="E10" i="26"/>
  <c r="C30" i="26"/>
  <c r="C8" i="28" l="1"/>
  <c r="B6" i="28"/>
  <c r="B6" i="27"/>
  <c r="B22" i="26"/>
  <c r="B58" i="26"/>
  <c r="G59" i="26" s="1"/>
  <c r="B30" i="26"/>
  <c r="B115" i="26"/>
  <c r="G116" i="26" s="1"/>
  <c r="E6" i="26"/>
  <c r="E8" i="26" s="1"/>
  <c r="G28" i="26"/>
  <c r="G43" i="26"/>
  <c r="D6" i="26"/>
  <c r="D8" i="26" s="1"/>
  <c r="G20" i="26"/>
  <c r="B10" i="26"/>
  <c r="C6" i="26"/>
  <c r="B8" i="28" l="1"/>
  <c r="G7" i="28"/>
  <c r="B8" i="27"/>
  <c r="G7" i="27"/>
  <c r="C8" i="26"/>
  <c r="B6" i="26"/>
  <c r="B8" i="26" l="1"/>
  <c r="G7" i="26"/>
  <c r="D145" i="25" l="1"/>
  <c r="D144" i="25"/>
  <c r="D143" i="25"/>
  <c r="D142" i="25"/>
  <c r="D141" i="25"/>
  <c r="D140" i="25"/>
  <c r="D139" i="25"/>
  <c r="D37" i="25" s="1"/>
  <c r="D138" i="25"/>
  <c r="D137" i="25"/>
  <c r="D136" i="25"/>
  <c r="D135" i="25"/>
  <c r="D134" i="25"/>
  <c r="D133" i="25"/>
  <c r="D130" i="25"/>
  <c r="D124" i="25" s="1"/>
  <c r="D82" i="25"/>
  <c r="D91" i="25"/>
  <c r="D43" i="25" s="1"/>
  <c r="D90" i="25"/>
  <c r="D89" i="25"/>
  <c r="D88" i="25"/>
  <c r="D87" i="25"/>
  <c r="D86" i="25"/>
  <c r="D85" i="25"/>
  <c r="D84" i="25"/>
  <c r="D83" i="25"/>
  <c r="D35" i="25" s="1"/>
  <c r="D81" i="25"/>
  <c r="D80" i="25"/>
  <c r="D79" i="25"/>
  <c r="D76" i="25"/>
  <c r="E145" i="25"/>
  <c r="E144" i="25"/>
  <c r="E143" i="25"/>
  <c r="E142" i="25"/>
  <c r="E40" i="25" s="1"/>
  <c r="E141" i="25"/>
  <c r="E140" i="25"/>
  <c r="E139" i="25"/>
  <c r="E138" i="25"/>
  <c r="E137" i="25"/>
  <c r="E136" i="25"/>
  <c r="E34" i="25" s="1"/>
  <c r="E135" i="25"/>
  <c r="E33" i="25" s="1"/>
  <c r="E134" i="25"/>
  <c r="E133" i="25"/>
  <c r="E130" i="25"/>
  <c r="E91" i="25"/>
  <c r="E90" i="25"/>
  <c r="E89" i="25"/>
  <c r="E88" i="25"/>
  <c r="E87" i="25"/>
  <c r="E86" i="25"/>
  <c r="E38" i="25" s="1"/>
  <c r="E85" i="25"/>
  <c r="E37" i="25" s="1"/>
  <c r="E84" i="25"/>
  <c r="E83" i="25"/>
  <c r="E35" i="25" s="1"/>
  <c r="E82" i="25"/>
  <c r="E81" i="25"/>
  <c r="E80" i="25"/>
  <c r="E79" i="25"/>
  <c r="E76" i="25"/>
  <c r="E28" i="25" s="1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0" i="25"/>
  <c r="C91" i="25"/>
  <c r="C90" i="25"/>
  <c r="C89" i="25"/>
  <c r="B89" i="25" s="1"/>
  <c r="C88" i="25"/>
  <c r="C87" i="25"/>
  <c r="C86" i="25"/>
  <c r="C85" i="25"/>
  <c r="C84" i="25"/>
  <c r="C83" i="25"/>
  <c r="C82" i="25"/>
  <c r="C81" i="25"/>
  <c r="C80" i="25"/>
  <c r="C79" i="25"/>
  <c r="C76" i="25"/>
  <c r="C70" i="25" s="1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E124" i="25"/>
  <c r="B129" i="25"/>
  <c r="B128" i="25"/>
  <c r="B127" i="25"/>
  <c r="B126" i="25"/>
  <c r="B125" i="25"/>
  <c r="B122" i="25"/>
  <c r="B121" i="25"/>
  <c r="B120" i="25"/>
  <c r="B119" i="25"/>
  <c r="B118" i="25"/>
  <c r="B117" i="25"/>
  <c r="B116" i="25"/>
  <c r="B115" i="25"/>
  <c r="B114" i="25"/>
  <c r="B113" i="25"/>
  <c r="E112" i="25"/>
  <c r="D112" i="25"/>
  <c r="C112" i="25"/>
  <c r="B110" i="25"/>
  <c r="E42" i="25"/>
  <c r="E36" i="25"/>
  <c r="D70" i="25"/>
  <c r="B75" i="25"/>
  <c r="B74" i="25"/>
  <c r="B73" i="25"/>
  <c r="B72" i="25"/>
  <c r="B71" i="25"/>
  <c r="B68" i="25"/>
  <c r="B67" i="25"/>
  <c r="B66" i="25"/>
  <c r="B65" i="25"/>
  <c r="B64" i="25"/>
  <c r="B63" i="25"/>
  <c r="B62" i="25"/>
  <c r="B61" i="25"/>
  <c r="B60" i="25"/>
  <c r="B59" i="25"/>
  <c r="E58" i="25"/>
  <c r="D58" i="25"/>
  <c r="C58" i="25"/>
  <c r="B56" i="25"/>
  <c r="D39" i="25"/>
  <c r="C32" i="25"/>
  <c r="D31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0" i="25"/>
  <c r="E19" i="25"/>
  <c r="E18" i="25"/>
  <c r="E17" i="25"/>
  <c r="E16" i="25"/>
  <c r="E15" i="25"/>
  <c r="E14" i="25"/>
  <c r="E13" i="25"/>
  <c r="E12" i="25"/>
  <c r="E11" i="25"/>
  <c r="E7" i="25"/>
  <c r="D7" i="25"/>
  <c r="C7" i="25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19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4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19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4" i="24"/>
  <c r="B84" i="25" l="1"/>
  <c r="E32" i="25"/>
  <c r="C38" i="25"/>
  <c r="B87" i="25"/>
  <c r="E43" i="25"/>
  <c r="E31" i="25"/>
  <c r="B139" i="25"/>
  <c r="B82" i="25"/>
  <c r="E41" i="25"/>
  <c r="B7" i="25"/>
  <c r="B79" i="25"/>
  <c r="E70" i="25"/>
  <c r="B80" i="25"/>
  <c r="D41" i="25"/>
  <c r="D33" i="25"/>
  <c r="B17" i="25"/>
  <c r="D78" i="25"/>
  <c r="D55" i="25" s="1"/>
  <c r="B20" i="25"/>
  <c r="B145" i="25"/>
  <c r="B144" i="25"/>
  <c r="B143" i="25"/>
  <c r="B142" i="25"/>
  <c r="E39" i="25"/>
  <c r="B141" i="25"/>
  <c r="B140" i="25"/>
  <c r="B138" i="25"/>
  <c r="B137" i="25"/>
  <c r="E132" i="25"/>
  <c r="E109" i="25" s="1"/>
  <c r="B136" i="25"/>
  <c r="B135" i="25"/>
  <c r="B134" i="25"/>
  <c r="B133" i="25"/>
  <c r="B130" i="25"/>
  <c r="G130" i="25" s="1"/>
  <c r="B91" i="25"/>
  <c r="B90" i="25"/>
  <c r="B88" i="25"/>
  <c r="E78" i="25"/>
  <c r="E55" i="25" s="1"/>
  <c r="B86" i="25"/>
  <c r="B85" i="25"/>
  <c r="B83" i="25"/>
  <c r="B81" i="25"/>
  <c r="C36" i="25"/>
  <c r="C34" i="25"/>
  <c r="C132" i="25"/>
  <c r="C28" i="25"/>
  <c r="C22" i="25" s="1"/>
  <c r="E22" i="25"/>
  <c r="B26" i="25"/>
  <c r="E10" i="25"/>
  <c r="B13" i="25"/>
  <c r="B16" i="25"/>
  <c r="B12" i="25"/>
  <c r="C42" i="25"/>
  <c r="C40" i="25"/>
  <c r="B70" i="25"/>
  <c r="B18" i="25"/>
  <c r="B14" i="25"/>
  <c r="B27" i="25"/>
  <c r="G122" i="25"/>
  <c r="B112" i="25"/>
  <c r="B24" i="25"/>
  <c r="B25" i="25"/>
  <c r="B23" i="25"/>
  <c r="B19" i="25"/>
  <c r="B15" i="25"/>
  <c r="B58" i="25"/>
  <c r="C10" i="25"/>
  <c r="D10" i="25"/>
  <c r="G68" i="25"/>
  <c r="B11" i="25"/>
  <c r="D32" i="25"/>
  <c r="D34" i="25"/>
  <c r="B34" i="25" s="1"/>
  <c r="D36" i="25"/>
  <c r="D40" i="25"/>
  <c r="D42" i="25"/>
  <c r="D132" i="25"/>
  <c r="D109" i="25" s="1"/>
  <c r="C124" i="25"/>
  <c r="D38" i="25"/>
  <c r="B38" i="25" s="1"/>
  <c r="D28" i="25"/>
  <c r="B28" i="25" s="1"/>
  <c r="C31" i="25"/>
  <c r="C33" i="25"/>
  <c r="C35" i="25"/>
  <c r="B35" i="25" s="1"/>
  <c r="C37" i="25"/>
  <c r="B37" i="25" s="1"/>
  <c r="C39" i="25"/>
  <c r="C41" i="25"/>
  <c r="C43" i="25"/>
  <c r="B43" i="25" s="1"/>
  <c r="C78" i="25"/>
  <c r="B76" i="25"/>
  <c r="G76" i="25" s="1"/>
  <c r="D134" i="24"/>
  <c r="B134" i="24" s="1"/>
  <c r="D133" i="24"/>
  <c r="B133" i="24" s="1"/>
  <c r="D132" i="24"/>
  <c r="B132" i="24" s="1"/>
  <c r="D131" i="24"/>
  <c r="B131" i="24" s="1"/>
  <c r="D130" i="24"/>
  <c r="B130" i="24" s="1"/>
  <c r="D129" i="24"/>
  <c r="B129" i="24" s="1"/>
  <c r="D128" i="24"/>
  <c r="B128" i="24" s="1"/>
  <c r="D127" i="24"/>
  <c r="B127" i="24" s="1"/>
  <c r="D126" i="24"/>
  <c r="B126" i="24" s="1"/>
  <c r="D125" i="24"/>
  <c r="B125" i="24" s="1"/>
  <c r="D124" i="24"/>
  <c r="D123" i="24"/>
  <c r="D122" i="24"/>
  <c r="D119" i="24"/>
  <c r="D113" i="24" s="1"/>
  <c r="D89" i="24"/>
  <c r="B89" i="24" s="1"/>
  <c r="D78" i="24"/>
  <c r="B78" i="24" s="1"/>
  <c r="D88" i="24"/>
  <c r="D87" i="24"/>
  <c r="D86" i="24"/>
  <c r="B86" i="24" s="1"/>
  <c r="D85" i="24"/>
  <c r="B85" i="24" s="1"/>
  <c r="D84" i="24"/>
  <c r="B84" i="24" s="1"/>
  <c r="D83" i="24"/>
  <c r="D82" i="24"/>
  <c r="B82" i="24" s="1"/>
  <c r="D81" i="24"/>
  <c r="B81" i="24" s="1"/>
  <c r="D80" i="24"/>
  <c r="B80" i="24" s="1"/>
  <c r="D79" i="24"/>
  <c r="D33" i="24" s="1"/>
  <c r="D77" i="24"/>
  <c r="D74" i="24"/>
  <c r="B124" i="24"/>
  <c r="B123" i="24"/>
  <c r="B122" i="24"/>
  <c r="E121" i="24"/>
  <c r="B118" i="24"/>
  <c r="B117" i="24"/>
  <c r="B116" i="24"/>
  <c r="B115" i="24"/>
  <c r="B114" i="24"/>
  <c r="E113" i="24"/>
  <c r="C113" i="24"/>
  <c r="B111" i="24"/>
  <c r="B110" i="24"/>
  <c r="B109" i="24"/>
  <c r="B108" i="24"/>
  <c r="B107" i="24"/>
  <c r="B106" i="24"/>
  <c r="B105" i="24"/>
  <c r="B104" i="24"/>
  <c r="B103" i="24"/>
  <c r="B102" i="24"/>
  <c r="E101" i="24"/>
  <c r="D101" i="24"/>
  <c r="C101" i="24"/>
  <c r="B99" i="24"/>
  <c r="B88" i="24"/>
  <c r="B87" i="24"/>
  <c r="B79" i="24"/>
  <c r="B77" i="24"/>
  <c r="E76" i="24"/>
  <c r="D68" i="24"/>
  <c r="B74" i="24"/>
  <c r="B73" i="24"/>
  <c r="B72" i="24"/>
  <c r="B71" i="24"/>
  <c r="B70" i="24"/>
  <c r="B69" i="24"/>
  <c r="E68" i="24"/>
  <c r="C68" i="24"/>
  <c r="B66" i="24"/>
  <c r="B65" i="24"/>
  <c r="B64" i="24"/>
  <c r="B63" i="24"/>
  <c r="B62" i="24"/>
  <c r="B61" i="24"/>
  <c r="B60" i="24"/>
  <c r="B59" i="24"/>
  <c r="B58" i="24"/>
  <c r="B57" i="24"/>
  <c r="E56" i="24"/>
  <c r="D56" i="24"/>
  <c r="C56" i="24"/>
  <c r="B54" i="24"/>
  <c r="E43" i="24"/>
  <c r="E42" i="24"/>
  <c r="D42" i="24"/>
  <c r="C42" i="24"/>
  <c r="E41" i="24"/>
  <c r="D41" i="24"/>
  <c r="E40" i="24"/>
  <c r="C40" i="24"/>
  <c r="E39" i="24"/>
  <c r="C39" i="24"/>
  <c r="E38" i="24"/>
  <c r="C38" i="24"/>
  <c r="E37" i="24"/>
  <c r="C37" i="24"/>
  <c r="E36" i="24"/>
  <c r="C36" i="24"/>
  <c r="E35" i="24"/>
  <c r="E34" i="24"/>
  <c r="D34" i="24"/>
  <c r="C34" i="24"/>
  <c r="E33" i="24"/>
  <c r="E32" i="24"/>
  <c r="C32" i="24"/>
  <c r="E31" i="24"/>
  <c r="D31" i="24"/>
  <c r="C31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E13" i="24"/>
  <c r="D13" i="24"/>
  <c r="C13" i="24"/>
  <c r="E12" i="24"/>
  <c r="D12" i="24"/>
  <c r="C12" i="24"/>
  <c r="E11" i="24"/>
  <c r="D11" i="24"/>
  <c r="C11" i="24"/>
  <c r="E7" i="24"/>
  <c r="D7" i="24"/>
  <c r="C7" i="24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4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3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4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3" i="23"/>
  <c r="B32" i="25" l="1"/>
  <c r="E30" i="25"/>
  <c r="E6" i="25" s="1"/>
  <c r="E8" i="25" s="1"/>
  <c r="B41" i="25"/>
  <c r="B33" i="25"/>
  <c r="B39" i="25"/>
  <c r="G145" i="25"/>
  <c r="G91" i="25"/>
  <c r="B36" i="25"/>
  <c r="B10" i="25"/>
  <c r="B42" i="25"/>
  <c r="B40" i="25"/>
  <c r="G20" i="25"/>
  <c r="G28" i="25"/>
  <c r="D30" i="25"/>
  <c r="B31" i="25"/>
  <c r="C30" i="25"/>
  <c r="B78" i="25"/>
  <c r="C55" i="25"/>
  <c r="B55" i="25" s="1"/>
  <c r="G56" i="25" s="1"/>
  <c r="D22" i="25"/>
  <c r="C109" i="25"/>
  <c r="B109" i="25" s="1"/>
  <c r="G110" i="25" s="1"/>
  <c r="B124" i="25"/>
  <c r="B132" i="25"/>
  <c r="B26" i="24"/>
  <c r="D36" i="24"/>
  <c r="B119" i="24"/>
  <c r="E53" i="24"/>
  <c r="B113" i="24"/>
  <c r="D37" i="24"/>
  <c r="B37" i="24" s="1"/>
  <c r="D35" i="24"/>
  <c r="D121" i="24"/>
  <c r="D98" i="24" s="1"/>
  <c r="B101" i="24"/>
  <c r="B12" i="24"/>
  <c r="B7" i="24"/>
  <c r="B23" i="24"/>
  <c r="B14" i="24"/>
  <c r="B83" i="24"/>
  <c r="G89" i="24" s="1"/>
  <c r="D43" i="24"/>
  <c r="D39" i="24"/>
  <c r="B39" i="24" s="1"/>
  <c r="D76" i="24"/>
  <c r="D53" i="24" s="1"/>
  <c r="D22" i="24"/>
  <c r="G74" i="24"/>
  <c r="B56" i="24"/>
  <c r="B31" i="24"/>
  <c r="B42" i="24"/>
  <c r="G119" i="24"/>
  <c r="B25" i="24"/>
  <c r="E22" i="24"/>
  <c r="B28" i="24"/>
  <c r="B20" i="24"/>
  <c r="E98" i="24"/>
  <c r="C10" i="24"/>
  <c r="B13" i="24"/>
  <c r="B18" i="24"/>
  <c r="G111" i="24"/>
  <c r="B16" i="24"/>
  <c r="B36" i="24"/>
  <c r="B34" i="24"/>
  <c r="E30" i="24"/>
  <c r="B24" i="24"/>
  <c r="B27" i="24"/>
  <c r="B68" i="24"/>
  <c r="C22" i="24"/>
  <c r="B17" i="24"/>
  <c r="B19" i="24"/>
  <c r="B15" i="24"/>
  <c r="B11" i="24"/>
  <c r="G66" i="24"/>
  <c r="E10" i="24"/>
  <c r="G134" i="24"/>
  <c r="C33" i="24"/>
  <c r="B33" i="24" s="1"/>
  <c r="C35" i="24"/>
  <c r="C41" i="24"/>
  <c r="B41" i="24" s="1"/>
  <c r="C43" i="24"/>
  <c r="C76" i="24"/>
  <c r="D10" i="24"/>
  <c r="D32" i="24"/>
  <c r="D38" i="24"/>
  <c r="B38" i="24" s="1"/>
  <c r="D40" i="24"/>
  <c r="B40" i="24" s="1"/>
  <c r="C121" i="24"/>
  <c r="C11" i="23"/>
  <c r="D11" i="23"/>
  <c r="E11" i="23"/>
  <c r="C12" i="23"/>
  <c r="D12" i="23"/>
  <c r="E12" i="23"/>
  <c r="C13" i="23"/>
  <c r="D13" i="23"/>
  <c r="E13" i="23"/>
  <c r="C14" i="23"/>
  <c r="D14" i="23"/>
  <c r="E14" i="23"/>
  <c r="C15" i="23"/>
  <c r="D15" i="23"/>
  <c r="E15" i="23"/>
  <c r="B15" i="23" s="1"/>
  <c r="C16" i="23"/>
  <c r="D16" i="23"/>
  <c r="E16" i="23"/>
  <c r="C17" i="23"/>
  <c r="D17" i="23"/>
  <c r="E17" i="23"/>
  <c r="C18" i="23"/>
  <c r="D18" i="23"/>
  <c r="E18" i="23"/>
  <c r="C19" i="23"/>
  <c r="D19" i="23"/>
  <c r="E19" i="23"/>
  <c r="C20" i="23"/>
  <c r="D20" i="23"/>
  <c r="E20" i="23"/>
  <c r="C23" i="23"/>
  <c r="D23" i="23"/>
  <c r="E23" i="23"/>
  <c r="C24" i="23"/>
  <c r="D24" i="23"/>
  <c r="E24" i="23"/>
  <c r="C25" i="23"/>
  <c r="D25" i="23"/>
  <c r="E25" i="23"/>
  <c r="C26" i="23"/>
  <c r="D26" i="23"/>
  <c r="E26" i="23"/>
  <c r="C27" i="23"/>
  <c r="D27" i="23"/>
  <c r="E27" i="23"/>
  <c r="C28" i="23"/>
  <c r="D28" i="23"/>
  <c r="E28" i="23"/>
  <c r="C31" i="23"/>
  <c r="D31" i="23"/>
  <c r="E31" i="23"/>
  <c r="C32" i="23"/>
  <c r="D32" i="23"/>
  <c r="E32" i="23"/>
  <c r="B32" i="23" s="1"/>
  <c r="C33" i="23"/>
  <c r="D33" i="23"/>
  <c r="E33" i="23"/>
  <c r="C34" i="23"/>
  <c r="D34" i="23"/>
  <c r="E34" i="23"/>
  <c r="C35" i="23"/>
  <c r="D35" i="23"/>
  <c r="E35" i="23"/>
  <c r="C36" i="23"/>
  <c r="D36" i="23"/>
  <c r="E36" i="23"/>
  <c r="C37" i="23"/>
  <c r="D37" i="23"/>
  <c r="E37" i="23"/>
  <c r="C38" i="23"/>
  <c r="D38" i="23"/>
  <c r="E38" i="23"/>
  <c r="C39" i="23"/>
  <c r="D39" i="23"/>
  <c r="E39" i="23"/>
  <c r="C40" i="23"/>
  <c r="D40" i="23"/>
  <c r="E40" i="23"/>
  <c r="B40" i="23" s="1"/>
  <c r="C41" i="23"/>
  <c r="D41" i="23"/>
  <c r="E41" i="23"/>
  <c r="C42" i="23"/>
  <c r="D42" i="23"/>
  <c r="E42" i="23"/>
  <c r="C43" i="23"/>
  <c r="D43" i="23"/>
  <c r="E43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E146" i="23"/>
  <c r="D146" i="23"/>
  <c r="C146" i="23"/>
  <c r="B144" i="23"/>
  <c r="B143" i="23"/>
  <c r="B142" i="23"/>
  <c r="B141" i="23"/>
  <c r="B140" i="23"/>
  <c r="B139" i="23"/>
  <c r="E138" i="23"/>
  <c r="D138" i="23"/>
  <c r="C138" i="23"/>
  <c r="B136" i="23"/>
  <c r="B135" i="23"/>
  <c r="B134" i="23"/>
  <c r="B133" i="23"/>
  <c r="B132" i="23"/>
  <c r="B131" i="23"/>
  <c r="B130" i="23"/>
  <c r="B129" i="23"/>
  <c r="B128" i="23"/>
  <c r="B127" i="23"/>
  <c r="E126" i="23"/>
  <c r="D126" i="23"/>
  <c r="C126" i="23"/>
  <c r="B124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E85" i="23"/>
  <c r="D85" i="23"/>
  <c r="C85" i="23"/>
  <c r="B83" i="23"/>
  <c r="B82" i="23"/>
  <c r="B81" i="23"/>
  <c r="B80" i="23"/>
  <c r="B79" i="23"/>
  <c r="B78" i="23"/>
  <c r="E77" i="23"/>
  <c r="D77" i="23"/>
  <c r="C77" i="23"/>
  <c r="B75" i="23"/>
  <c r="B74" i="23"/>
  <c r="B73" i="23"/>
  <c r="B72" i="23"/>
  <c r="B71" i="23"/>
  <c r="B70" i="23"/>
  <c r="B69" i="23"/>
  <c r="B68" i="23"/>
  <c r="B67" i="23"/>
  <c r="B66" i="23"/>
  <c r="E65" i="23"/>
  <c r="D65" i="23"/>
  <c r="C65" i="23"/>
  <c r="B63" i="23"/>
  <c r="E7" i="23"/>
  <c r="D7" i="23"/>
  <c r="C7" i="23"/>
  <c r="G43" i="25" l="1"/>
  <c r="B30" i="25"/>
  <c r="C6" i="25"/>
  <c r="B22" i="25"/>
  <c r="D6" i="25"/>
  <c r="D8" i="25" s="1"/>
  <c r="B35" i="24"/>
  <c r="B22" i="24"/>
  <c r="B43" i="24"/>
  <c r="E6" i="24"/>
  <c r="E8" i="24" s="1"/>
  <c r="G28" i="24"/>
  <c r="G20" i="24"/>
  <c r="C30" i="24"/>
  <c r="C6" i="24" s="1"/>
  <c r="B76" i="24"/>
  <c r="C53" i="24"/>
  <c r="B53" i="24" s="1"/>
  <c r="G54" i="24" s="1"/>
  <c r="D30" i="24"/>
  <c r="D6" i="24" s="1"/>
  <c r="D8" i="24" s="1"/>
  <c r="B10" i="24"/>
  <c r="B121" i="24"/>
  <c r="C98" i="24"/>
  <c r="B98" i="24" s="1"/>
  <c r="G99" i="24" s="1"/>
  <c r="B32" i="24"/>
  <c r="E123" i="23"/>
  <c r="B38" i="23"/>
  <c r="B7" i="23"/>
  <c r="B43" i="23"/>
  <c r="B41" i="23"/>
  <c r="B37" i="23"/>
  <c r="B36" i="23"/>
  <c r="B35" i="23"/>
  <c r="B33" i="23"/>
  <c r="B85" i="23"/>
  <c r="B27" i="23"/>
  <c r="B77" i="23"/>
  <c r="B11" i="23"/>
  <c r="B34" i="23"/>
  <c r="B138" i="23"/>
  <c r="G144" i="23"/>
  <c r="G98" i="23"/>
  <c r="B26" i="23"/>
  <c r="B19" i="23"/>
  <c r="B16" i="23"/>
  <c r="G75" i="23"/>
  <c r="B146" i="23"/>
  <c r="G159" i="23"/>
  <c r="B42" i="23"/>
  <c r="C123" i="23"/>
  <c r="B23" i="23"/>
  <c r="D123" i="23"/>
  <c r="B18" i="23"/>
  <c r="G136" i="23"/>
  <c r="E30" i="23"/>
  <c r="B39" i="23"/>
  <c r="D30" i="23"/>
  <c r="C30" i="23"/>
  <c r="C62" i="23"/>
  <c r="B28" i="23"/>
  <c r="C22" i="23"/>
  <c r="D22" i="23"/>
  <c r="B25" i="23"/>
  <c r="D62" i="23"/>
  <c r="G83" i="23"/>
  <c r="E62" i="23"/>
  <c r="B24" i="23"/>
  <c r="D10" i="23"/>
  <c r="B17" i="23"/>
  <c r="B20" i="23"/>
  <c r="B12" i="23"/>
  <c r="E10" i="23"/>
  <c r="B14" i="23"/>
  <c r="B13" i="23"/>
  <c r="C10" i="23"/>
  <c r="B31" i="23"/>
  <c r="B65" i="23"/>
  <c r="E22" i="23"/>
  <c r="B126" i="23"/>
  <c r="E7" i="20"/>
  <c r="D7" i="20"/>
  <c r="C7" i="20"/>
  <c r="C8" i="25" l="1"/>
  <c r="B6" i="25"/>
  <c r="G43" i="24"/>
  <c r="B30" i="24"/>
  <c r="C8" i="24"/>
  <c r="B6" i="24"/>
  <c r="D6" i="23"/>
  <c r="D8" i="23" s="1"/>
  <c r="B30" i="23"/>
  <c r="B22" i="23"/>
  <c r="G20" i="23"/>
  <c r="C6" i="23"/>
  <c r="C8" i="23" s="1"/>
  <c r="B62" i="23"/>
  <c r="G63" i="23" s="1"/>
  <c r="B123" i="23"/>
  <c r="G124" i="23" s="1"/>
  <c r="G28" i="23"/>
  <c r="G43" i="23"/>
  <c r="B10" i="23"/>
  <c r="E6" i="23"/>
  <c r="E8" i="23" s="1"/>
  <c r="C11" i="20"/>
  <c r="C12" i="20"/>
  <c r="C13" i="20"/>
  <c r="C14" i="20"/>
  <c r="C15" i="20"/>
  <c r="C16" i="20"/>
  <c r="C17" i="20"/>
  <c r="G7" i="25" l="1"/>
  <c r="B8" i="25"/>
  <c r="B8" i="24"/>
  <c r="G7" i="24"/>
  <c r="B6" i="23"/>
  <c r="B8" i="23" s="1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E117" i="20"/>
  <c r="D117" i="20"/>
  <c r="C117" i="20"/>
  <c r="B115" i="20"/>
  <c r="B114" i="20"/>
  <c r="B113" i="20"/>
  <c r="B112" i="20"/>
  <c r="B111" i="20"/>
  <c r="B110" i="20"/>
  <c r="E109" i="20"/>
  <c r="D109" i="20"/>
  <c r="C109" i="20"/>
  <c r="B107" i="20"/>
  <c r="B106" i="20"/>
  <c r="B105" i="20"/>
  <c r="B104" i="20"/>
  <c r="B103" i="20"/>
  <c r="B102" i="20"/>
  <c r="B101" i="20"/>
  <c r="B100" i="20"/>
  <c r="B99" i="20"/>
  <c r="B98" i="20"/>
  <c r="E97" i="20"/>
  <c r="D97" i="20"/>
  <c r="C97" i="20"/>
  <c r="B95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E74" i="20"/>
  <c r="D74" i="20"/>
  <c r="C74" i="20"/>
  <c r="B72" i="20"/>
  <c r="B71" i="20"/>
  <c r="B70" i="20"/>
  <c r="B69" i="20"/>
  <c r="B68" i="20"/>
  <c r="B67" i="20"/>
  <c r="E66" i="20"/>
  <c r="D66" i="20"/>
  <c r="C66" i="20"/>
  <c r="B64" i="20"/>
  <c r="B63" i="20"/>
  <c r="B62" i="20"/>
  <c r="B61" i="20"/>
  <c r="B60" i="20"/>
  <c r="B59" i="20"/>
  <c r="B58" i="20"/>
  <c r="B57" i="20"/>
  <c r="B56" i="20"/>
  <c r="B55" i="20"/>
  <c r="E54" i="20"/>
  <c r="D54" i="20"/>
  <c r="C54" i="20"/>
  <c r="B52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0" i="20"/>
  <c r="D20" i="20"/>
  <c r="C20" i="20"/>
  <c r="E19" i="20"/>
  <c r="D19" i="20"/>
  <c r="C19" i="20"/>
  <c r="E18" i="20"/>
  <c r="D18" i="20"/>
  <c r="C18" i="20"/>
  <c r="E17" i="20"/>
  <c r="D17" i="20"/>
  <c r="E16" i="20"/>
  <c r="D16" i="20"/>
  <c r="E15" i="20"/>
  <c r="D15" i="20"/>
  <c r="B15" i="20" s="1"/>
  <c r="E14" i="20"/>
  <c r="D14" i="20"/>
  <c r="E13" i="20"/>
  <c r="D13" i="20"/>
  <c r="E12" i="20"/>
  <c r="D12" i="20"/>
  <c r="E11" i="20"/>
  <c r="D11" i="20"/>
  <c r="B7" i="20"/>
  <c r="B7" i="21"/>
  <c r="E43" i="21"/>
  <c r="D43" i="21"/>
  <c r="E42" i="21"/>
  <c r="D42" i="21"/>
  <c r="E41" i="21"/>
  <c r="D41" i="21"/>
  <c r="E40" i="21"/>
  <c r="D40" i="21"/>
  <c r="E39" i="21"/>
  <c r="D39" i="21"/>
  <c r="E38" i="21"/>
  <c r="D38" i="21"/>
  <c r="E37" i="21"/>
  <c r="D37" i="21"/>
  <c r="E36" i="21"/>
  <c r="D36" i="21"/>
  <c r="E35" i="21"/>
  <c r="D35" i="21"/>
  <c r="E34" i="21"/>
  <c r="D34" i="21"/>
  <c r="E33" i="21"/>
  <c r="D33" i="21"/>
  <c r="E32" i="21"/>
  <c r="D32" i="21"/>
  <c r="E31" i="21"/>
  <c r="D31" i="21"/>
  <c r="C43" i="21"/>
  <c r="B43" i="21" s="1"/>
  <c r="C42" i="21"/>
  <c r="B42" i="21" s="1"/>
  <c r="C41" i="21"/>
  <c r="B41" i="21" s="1"/>
  <c r="C40" i="21"/>
  <c r="B40" i="21" s="1"/>
  <c r="C39" i="21"/>
  <c r="B39" i="21" s="1"/>
  <c r="C38" i="21"/>
  <c r="B38" i="21" s="1"/>
  <c r="C37" i="21"/>
  <c r="B37" i="21" s="1"/>
  <c r="C36" i="21"/>
  <c r="B36" i="21" s="1"/>
  <c r="C35" i="21"/>
  <c r="B35" i="21" s="1"/>
  <c r="C34" i="21"/>
  <c r="B34" i="21" s="1"/>
  <c r="C33" i="21"/>
  <c r="B33" i="21" s="1"/>
  <c r="C32" i="21"/>
  <c r="B32" i="21" s="1"/>
  <c r="C31" i="21"/>
  <c r="B31" i="21" s="1"/>
  <c r="B24" i="21"/>
  <c r="E23" i="21"/>
  <c r="D23" i="21"/>
  <c r="E28" i="21"/>
  <c r="D28" i="21"/>
  <c r="C28" i="21"/>
  <c r="B28" i="21" s="1"/>
  <c r="E27" i="21"/>
  <c r="B27" i="21" s="1"/>
  <c r="D27" i="21"/>
  <c r="C27" i="21"/>
  <c r="E26" i="21"/>
  <c r="D26" i="21"/>
  <c r="C26" i="21"/>
  <c r="B26" i="21" s="1"/>
  <c r="E25" i="21"/>
  <c r="D25" i="21"/>
  <c r="C25" i="21"/>
  <c r="B25" i="21" s="1"/>
  <c r="E24" i="21"/>
  <c r="D24" i="21"/>
  <c r="C24" i="21"/>
  <c r="C23" i="21"/>
  <c r="B23" i="21" s="1"/>
  <c r="E20" i="21"/>
  <c r="D20" i="21"/>
  <c r="B20" i="21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B12" i="21" s="1"/>
  <c r="E11" i="21"/>
  <c r="D11" i="21"/>
  <c r="C20" i="21"/>
  <c r="C19" i="21"/>
  <c r="C18" i="21"/>
  <c r="C17" i="21"/>
  <c r="B17" i="21" s="1"/>
  <c r="C16" i="21"/>
  <c r="C15" i="21"/>
  <c r="C14" i="21"/>
  <c r="C13" i="21"/>
  <c r="C12" i="21"/>
  <c r="C11" i="21"/>
  <c r="B13" i="21"/>
  <c r="E117" i="21"/>
  <c r="D117" i="21"/>
  <c r="E109" i="21"/>
  <c r="D109" i="21"/>
  <c r="E97" i="21"/>
  <c r="D97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5" i="21"/>
  <c r="B114" i="21"/>
  <c r="B113" i="21"/>
  <c r="B112" i="21"/>
  <c r="B111" i="21"/>
  <c r="B110" i="21"/>
  <c r="B107" i="21"/>
  <c r="B106" i="21"/>
  <c r="B105" i="21"/>
  <c r="B104" i="21"/>
  <c r="B103" i="21"/>
  <c r="B102" i="21"/>
  <c r="B101" i="21"/>
  <c r="B100" i="21"/>
  <c r="B99" i="21"/>
  <c r="B98" i="21"/>
  <c r="G107" i="21" s="1"/>
  <c r="B95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2" i="21"/>
  <c r="B71" i="21"/>
  <c r="B70" i="21"/>
  <c r="B69" i="21"/>
  <c r="B68" i="21"/>
  <c r="B67" i="21"/>
  <c r="B64" i="21"/>
  <c r="B63" i="21"/>
  <c r="B62" i="21"/>
  <c r="B61" i="21"/>
  <c r="B60" i="21"/>
  <c r="B59" i="21"/>
  <c r="B58" i="21"/>
  <c r="G64" i="21" s="1"/>
  <c r="B57" i="21"/>
  <c r="B56" i="21"/>
  <c r="B55" i="21"/>
  <c r="B52" i="21"/>
  <c r="D54" i="21"/>
  <c r="D74" i="21"/>
  <c r="D66" i="21"/>
  <c r="C117" i="21"/>
  <c r="C109" i="21"/>
  <c r="B109" i="21" s="1"/>
  <c r="C97" i="21"/>
  <c r="E74" i="21"/>
  <c r="C74" i="21"/>
  <c r="E66" i="21"/>
  <c r="C66" i="21"/>
  <c r="E54" i="21"/>
  <c r="C54" i="21"/>
  <c r="G28" i="21" l="1"/>
  <c r="G115" i="21"/>
  <c r="B19" i="21"/>
  <c r="B11" i="21"/>
  <c r="B14" i="21"/>
  <c r="B18" i="21"/>
  <c r="B117" i="21"/>
  <c r="C10" i="20"/>
  <c r="G7" i="23"/>
  <c r="B109" i="20"/>
  <c r="D94" i="20"/>
  <c r="B14" i="20"/>
  <c r="B36" i="20"/>
  <c r="B33" i="20"/>
  <c r="B40" i="20"/>
  <c r="B27" i="20"/>
  <c r="B97" i="20"/>
  <c r="B42" i="20"/>
  <c r="B34" i="20"/>
  <c r="B31" i="20"/>
  <c r="B26" i="20"/>
  <c r="E51" i="20"/>
  <c r="B13" i="20"/>
  <c r="B66" i="20"/>
  <c r="B54" i="20"/>
  <c r="B12" i="20"/>
  <c r="G107" i="20"/>
  <c r="G87" i="20"/>
  <c r="B32" i="20"/>
  <c r="B23" i="20"/>
  <c r="B20" i="20"/>
  <c r="B18" i="20"/>
  <c r="G64" i="20"/>
  <c r="B16" i="20"/>
  <c r="E10" i="20"/>
  <c r="C51" i="20"/>
  <c r="E22" i="20"/>
  <c r="C22" i="20"/>
  <c r="G72" i="20"/>
  <c r="B25" i="20"/>
  <c r="B28" i="20"/>
  <c r="B38" i="20"/>
  <c r="B37" i="20"/>
  <c r="D51" i="20"/>
  <c r="B74" i="20"/>
  <c r="B35" i="20"/>
  <c r="B11" i="20"/>
  <c r="D10" i="20"/>
  <c r="B19" i="20"/>
  <c r="B17" i="20"/>
  <c r="C94" i="20"/>
  <c r="B24" i="20"/>
  <c r="G115" i="20"/>
  <c r="E94" i="20"/>
  <c r="D22" i="20"/>
  <c r="D30" i="20"/>
  <c r="B117" i="20"/>
  <c r="E30" i="20"/>
  <c r="B43" i="20"/>
  <c r="B41" i="20"/>
  <c r="B39" i="20"/>
  <c r="G130" i="20"/>
  <c r="C30" i="20"/>
  <c r="B15" i="21"/>
  <c r="B16" i="21"/>
  <c r="G87" i="21"/>
  <c r="B66" i="21"/>
  <c r="G72" i="21"/>
  <c r="B54" i="21"/>
  <c r="B97" i="21"/>
  <c r="D94" i="21"/>
  <c r="G130" i="21"/>
  <c r="B74" i="21"/>
  <c r="D30" i="21"/>
  <c r="C30" i="21"/>
  <c r="B30" i="21" s="1"/>
  <c r="D22" i="21"/>
  <c r="D51" i="21"/>
  <c r="E94" i="21"/>
  <c r="E22" i="21"/>
  <c r="E30" i="21"/>
  <c r="C51" i="21"/>
  <c r="C22" i="21"/>
  <c r="E51" i="21"/>
  <c r="E10" i="21"/>
  <c r="C10" i="21"/>
  <c r="C6" i="21" s="1"/>
  <c r="C94" i="21"/>
  <c r="E6" i="21" l="1"/>
  <c r="G20" i="21"/>
  <c r="B22" i="21"/>
  <c r="B94" i="20"/>
  <c r="G95" i="20" s="1"/>
  <c r="E6" i="20"/>
  <c r="E8" i="20" s="1"/>
  <c r="B10" i="20"/>
  <c r="G43" i="20"/>
  <c r="G28" i="20"/>
  <c r="B51" i="20"/>
  <c r="G52" i="20" s="1"/>
  <c r="G20" i="20"/>
  <c r="B22" i="20"/>
  <c r="B30" i="20"/>
  <c r="D6" i="20"/>
  <c r="D8" i="20" s="1"/>
  <c r="C6" i="20"/>
  <c r="C8" i="20" s="1"/>
  <c r="G43" i="21"/>
  <c r="B94" i="21"/>
  <c r="G95" i="21" s="1"/>
  <c r="B51" i="21"/>
  <c r="G52" i="21" s="1"/>
  <c r="D96" i="19"/>
  <c r="D53" i="19"/>
  <c r="C96" i="19"/>
  <c r="C53" i="19"/>
  <c r="B6" i="20" l="1"/>
  <c r="B8" i="20" s="1"/>
  <c r="D10" i="21"/>
  <c r="D6" i="21" s="1"/>
  <c r="B6" i="21" s="1"/>
  <c r="B8" i="21" s="1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D116" i="19"/>
  <c r="C116" i="19"/>
  <c r="B114" i="19"/>
  <c r="B113" i="19"/>
  <c r="B112" i="19"/>
  <c r="B111" i="19"/>
  <c r="B110" i="19"/>
  <c r="B109" i="19"/>
  <c r="D108" i="19"/>
  <c r="C108" i="19"/>
  <c r="C93" i="19" s="1"/>
  <c r="B106" i="19"/>
  <c r="B105" i="19"/>
  <c r="B104" i="19"/>
  <c r="B103" i="19"/>
  <c r="B102" i="19"/>
  <c r="B101" i="19"/>
  <c r="B100" i="19"/>
  <c r="B99" i="19"/>
  <c r="B98" i="19"/>
  <c r="B97" i="19"/>
  <c r="B94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D73" i="19"/>
  <c r="C73" i="19"/>
  <c r="B71" i="19"/>
  <c r="B70" i="19"/>
  <c r="B69" i="19"/>
  <c r="B68" i="19"/>
  <c r="B67" i="19"/>
  <c r="B66" i="19"/>
  <c r="D65" i="19"/>
  <c r="C65" i="19"/>
  <c r="C50" i="19" s="1"/>
  <c r="B63" i="19"/>
  <c r="B62" i="19"/>
  <c r="B61" i="19"/>
  <c r="B60" i="19"/>
  <c r="B59" i="19"/>
  <c r="B58" i="19"/>
  <c r="B57" i="19"/>
  <c r="B56" i="19"/>
  <c r="B55" i="19"/>
  <c r="B54" i="19"/>
  <c r="B51" i="19"/>
  <c r="D42" i="19"/>
  <c r="C42" i="19"/>
  <c r="D41" i="19"/>
  <c r="C41" i="19"/>
  <c r="D40" i="19"/>
  <c r="C40" i="19"/>
  <c r="D39" i="19"/>
  <c r="C39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7" i="19"/>
  <c r="C27" i="19"/>
  <c r="D26" i="19"/>
  <c r="C26" i="19"/>
  <c r="D25" i="19"/>
  <c r="C25" i="19"/>
  <c r="D24" i="19"/>
  <c r="C24" i="19"/>
  <c r="D23" i="19"/>
  <c r="C23" i="19"/>
  <c r="D22" i="19"/>
  <c r="D21" i="19" s="1"/>
  <c r="C22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C9" i="19" l="1"/>
  <c r="D9" i="19"/>
  <c r="D6" i="19" s="1"/>
  <c r="G7" i="20"/>
  <c r="B10" i="21"/>
  <c r="G7" i="21" s="1"/>
  <c r="B19" i="19"/>
  <c r="B22" i="19"/>
  <c r="B37" i="19"/>
  <c r="C21" i="19"/>
  <c r="B21" i="19" s="1"/>
  <c r="B7" i="19"/>
  <c r="B11" i="19"/>
  <c r="B12" i="19"/>
  <c r="B13" i="19"/>
  <c r="B14" i="19"/>
  <c r="B15" i="19"/>
  <c r="B16" i="19"/>
  <c r="B17" i="19"/>
  <c r="B18" i="19"/>
  <c r="B30" i="19"/>
  <c r="B31" i="19"/>
  <c r="B32" i="19"/>
  <c r="B33" i="19"/>
  <c r="B34" i="19"/>
  <c r="B35" i="19"/>
  <c r="B36" i="19"/>
  <c r="D29" i="19"/>
  <c r="B73" i="19"/>
  <c r="B116" i="19"/>
  <c r="B10" i="19"/>
  <c r="B24" i="19"/>
  <c r="B25" i="19"/>
  <c r="B26" i="19"/>
  <c r="B27" i="19"/>
  <c r="B38" i="19"/>
  <c r="B39" i="19"/>
  <c r="B40" i="19"/>
  <c r="B41" i="19"/>
  <c r="B42" i="19"/>
  <c r="B65" i="19"/>
  <c r="B108" i="19"/>
  <c r="B23" i="19"/>
  <c r="C29" i="19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6" i="19" l="1"/>
  <c r="B29" i="19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D134" i="18"/>
  <c r="C134" i="18"/>
  <c r="B132" i="18"/>
  <c r="B131" i="18"/>
  <c r="B130" i="18"/>
  <c r="B129" i="18"/>
  <c r="B128" i="18"/>
  <c r="B127" i="18"/>
  <c r="D126" i="18"/>
  <c r="D110" i="18" s="1"/>
  <c r="C126" i="18"/>
  <c r="B124" i="18"/>
  <c r="B123" i="18"/>
  <c r="B122" i="18"/>
  <c r="B121" i="18"/>
  <c r="B120" i="18"/>
  <c r="B119" i="18"/>
  <c r="B118" i="18"/>
  <c r="B117" i="18"/>
  <c r="B116" i="18"/>
  <c r="B115" i="18"/>
  <c r="B114" i="18"/>
  <c r="D113" i="18"/>
  <c r="C113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D80" i="18"/>
  <c r="C80" i="18"/>
  <c r="B78" i="18"/>
  <c r="B77" i="18"/>
  <c r="B76" i="18"/>
  <c r="B75" i="18"/>
  <c r="B74" i="18"/>
  <c r="B73" i="18"/>
  <c r="D72" i="18"/>
  <c r="C72" i="18"/>
  <c r="B70" i="18"/>
  <c r="B69" i="18"/>
  <c r="B68" i="18"/>
  <c r="B67" i="18"/>
  <c r="B66" i="18"/>
  <c r="B65" i="18"/>
  <c r="B64" i="18"/>
  <c r="B63" i="18"/>
  <c r="B62" i="18"/>
  <c r="B61" i="18"/>
  <c r="B60" i="18"/>
  <c r="D59" i="18"/>
  <c r="C59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D30" i="18" s="1"/>
  <c r="C33" i="18"/>
  <c r="D32" i="18"/>
  <c r="C32" i="18"/>
  <c r="D31" i="18"/>
  <c r="C31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B20" i="18"/>
  <c r="B19" i="18"/>
  <c r="B18" i="18"/>
  <c r="B17" i="18"/>
  <c r="B16" i="18"/>
  <c r="B15" i="18"/>
  <c r="B14" i="18"/>
  <c r="B13" i="18"/>
  <c r="B12" i="18"/>
  <c r="B11" i="18"/>
  <c r="D9" i="18"/>
  <c r="B10" i="18"/>
  <c r="C9" i="18"/>
  <c r="C22" i="18" l="1"/>
  <c r="B126" i="18"/>
  <c r="B134" i="18"/>
  <c r="B113" i="18"/>
  <c r="B28" i="18"/>
  <c r="B27" i="18"/>
  <c r="B26" i="18"/>
  <c r="B25" i="18"/>
  <c r="D22" i="18"/>
  <c r="D7" i="18" s="1"/>
  <c r="B72" i="18"/>
  <c r="B23" i="18"/>
  <c r="D56" i="18"/>
  <c r="B80" i="18"/>
  <c r="B31" i="18"/>
  <c r="B32" i="18"/>
  <c r="B33" i="18"/>
  <c r="B34" i="18"/>
  <c r="B35" i="18"/>
  <c r="B36" i="18"/>
  <c r="B37" i="18"/>
  <c r="B38" i="18"/>
  <c r="B40" i="18"/>
  <c r="B41" i="18"/>
  <c r="B42" i="18"/>
  <c r="B43" i="18"/>
  <c r="B39" i="18"/>
  <c r="B24" i="18"/>
  <c r="B59" i="18"/>
  <c r="B9" i="18"/>
  <c r="C30" i="18"/>
  <c r="B30" i="18" s="1"/>
  <c r="C56" i="18"/>
  <c r="C110" i="18"/>
  <c r="B110" i="18" s="1"/>
  <c r="C72" i="17"/>
  <c r="D43" i="17"/>
  <c r="C43" i="17"/>
  <c r="D42" i="17"/>
  <c r="C42" i="17"/>
  <c r="D41" i="17"/>
  <c r="C41" i="17"/>
  <c r="D40" i="17"/>
  <c r="C40" i="17"/>
  <c r="D39" i="17"/>
  <c r="C39" i="17"/>
  <c r="D38" i="17"/>
  <c r="C38" i="17"/>
  <c r="B38" i="17" s="1"/>
  <c r="D37" i="17"/>
  <c r="C37" i="17"/>
  <c r="B37" i="17" s="1"/>
  <c r="D36" i="17"/>
  <c r="B36" i="17" s="1"/>
  <c r="C36" i="17"/>
  <c r="D35" i="17"/>
  <c r="C35" i="17"/>
  <c r="D34" i="17"/>
  <c r="C34" i="17"/>
  <c r="D33" i="17"/>
  <c r="C33" i="17"/>
  <c r="C30" i="17" s="1"/>
  <c r="B30" i="17" s="1"/>
  <c r="D32" i="17"/>
  <c r="D30" i="17" s="1"/>
  <c r="C32" i="17"/>
  <c r="D31" i="17"/>
  <c r="C31" i="17"/>
  <c r="D28" i="17"/>
  <c r="C28" i="17"/>
  <c r="B28" i="17"/>
  <c r="D27" i="17"/>
  <c r="B27" i="17" s="1"/>
  <c r="C27" i="17"/>
  <c r="D26" i="17"/>
  <c r="C26" i="17"/>
  <c r="B26" i="17"/>
  <c r="D25" i="17"/>
  <c r="C25" i="17"/>
  <c r="D24" i="17"/>
  <c r="C24" i="17"/>
  <c r="C22" i="17" s="1"/>
  <c r="B22" i="17" s="1"/>
  <c r="D23" i="17"/>
  <c r="C23" i="17"/>
  <c r="B23" i="17"/>
  <c r="C20" i="17"/>
  <c r="C19" i="17"/>
  <c r="C18" i="17"/>
  <c r="C17" i="17"/>
  <c r="C9" i="17" s="1"/>
  <c r="C16" i="17"/>
  <c r="C15" i="17"/>
  <c r="C14" i="17"/>
  <c r="C13" i="17"/>
  <c r="C12" i="17"/>
  <c r="C11" i="17"/>
  <c r="B11" i="17" s="1"/>
  <c r="D20" i="17"/>
  <c r="D19" i="17"/>
  <c r="B19" i="17" s="1"/>
  <c r="D18" i="17"/>
  <c r="D17" i="17"/>
  <c r="D16" i="17"/>
  <c r="D15" i="17"/>
  <c r="D14" i="17"/>
  <c r="D13" i="17"/>
  <c r="D9" i="17" s="1"/>
  <c r="B13" i="17"/>
  <c r="D12" i="17"/>
  <c r="D11" i="17"/>
  <c r="D10" i="17"/>
  <c r="C10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D134" i="17"/>
  <c r="C134" i="17"/>
  <c r="B132" i="17"/>
  <c r="B131" i="17"/>
  <c r="B130" i="17"/>
  <c r="B129" i="17"/>
  <c r="B128" i="17"/>
  <c r="B127" i="17"/>
  <c r="D126" i="17"/>
  <c r="C126" i="17"/>
  <c r="B124" i="17"/>
  <c r="B123" i="17"/>
  <c r="B122" i="17"/>
  <c r="B121" i="17"/>
  <c r="B120" i="17"/>
  <c r="B119" i="17"/>
  <c r="B118" i="17"/>
  <c r="B117" i="17"/>
  <c r="B116" i="17"/>
  <c r="B115" i="17"/>
  <c r="B114" i="17"/>
  <c r="D113" i="17"/>
  <c r="D110" i="17" s="1"/>
  <c r="C113" i="17"/>
  <c r="B113" i="17" s="1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D80" i="17"/>
  <c r="C80" i="17"/>
  <c r="C56" i="17" s="1"/>
  <c r="B78" i="17"/>
  <c r="B77" i="17"/>
  <c r="B76" i="17"/>
  <c r="B75" i="17"/>
  <c r="B74" i="17"/>
  <c r="B73" i="17"/>
  <c r="D72" i="17"/>
  <c r="D56" i="17" s="1"/>
  <c r="B70" i="17"/>
  <c r="B69" i="17"/>
  <c r="B68" i="17"/>
  <c r="B67" i="17"/>
  <c r="B66" i="17"/>
  <c r="B65" i="17"/>
  <c r="B64" i="17"/>
  <c r="B63" i="17"/>
  <c r="B62" i="17"/>
  <c r="B61" i="17"/>
  <c r="B60" i="17"/>
  <c r="D59" i="17"/>
  <c r="C59" i="17"/>
  <c r="B43" i="17"/>
  <c r="B42" i="17"/>
  <c r="B41" i="17"/>
  <c r="B40" i="17"/>
  <c r="B39" i="17"/>
  <c r="B35" i="17"/>
  <c r="B34" i="17"/>
  <c r="B33" i="17"/>
  <c r="B32" i="17"/>
  <c r="B31" i="17"/>
  <c r="B25" i="17"/>
  <c r="D22" i="17"/>
  <c r="B15" i="17"/>
  <c r="B10" i="17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D134" i="16"/>
  <c r="C134" i="16"/>
  <c r="B134" i="16"/>
  <c r="B132" i="16"/>
  <c r="B131" i="16"/>
  <c r="B130" i="16"/>
  <c r="B129" i="16"/>
  <c r="B128" i="16"/>
  <c r="B127" i="16"/>
  <c r="D126" i="16"/>
  <c r="C126" i="16"/>
  <c r="B124" i="16"/>
  <c r="B123" i="16"/>
  <c r="B122" i="16"/>
  <c r="B121" i="16"/>
  <c r="B120" i="16"/>
  <c r="B119" i="16"/>
  <c r="B118" i="16"/>
  <c r="B117" i="16"/>
  <c r="B116" i="16"/>
  <c r="B115" i="16"/>
  <c r="B114" i="16"/>
  <c r="D113" i="16"/>
  <c r="B113" i="16" s="1"/>
  <c r="C113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D80" i="16"/>
  <c r="C80" i="16"/>
  <c r="B80" i="16" s="1"/>
  <c r="B78" i="16"/>
  <c r="B77" i="16"/>
  <c r="B76" i="16"/>
  <c r="B75" i="16"/>
  <c r="B74" i="16"/>
  <c r="B73" i="16"/>
  <c r="D72" i="16"/>
  <c r="D56" i="16" s="1"/>
  <c r="C72" i="16"/>
  <c r="C56" i="16" s="1"/>
  <c r="B56" i="16" s="1"/>
  <c r="B70" i="16"/>
  <c r="B69" i="16"/>
  <c r="B68" i="16"/>
  <c r="B67" i="16"/>
  <c r="B66" i="16"/>
  <c r="B65" i="16"/>
  <c r="B64" i="16"/>
  <c r="B63" i="16"/>
  <c r="B62" i="16"/>
  <c r="B61" i="16"/>
  <c r="B60" i="16"/>
  <c r="D59" i="16"/>
  <c r="C59" i="16"/>
  <c r="D43" i="16"/>
  <c r="C43" i="16"/>
  <c r="B43" i="16" s="1"/>
  <c r="D42" i="16"/>
  <c r="B42" i="16" s="1"/>
  <c r="C42" i="16"/>
  <c r="D41" i="16"/>
  <c r="C41" i="16"/>
  <c r="D40" i="16"/>
  <c r="C40" i="16"/>
  <c r="D39" i="16"/>
  <c r="C39" i="16"/>
  <c r="D38" i="16"/>
  <c r="B38" i="16" s="1"/>
  <c r="C38" i="16"/>
  <c r="D37" i="16"/>
  <c r="C37" i="16"/>
  <c r="D36" i="16"/>
  <c r="C36" i="16"/>
  <c r="D35" i="16"/>
  <c r="C35" i="16"/>
  <c r="B35" i="16" s="1"/>
  <c r="D34" i="16"/>
  <c r="B34" i="16" s="1"/>
  <c r="C34" i="16"/>
  <c r="D33" i="16"/>
  <c r="C33" i="16"/>
  <c r="D32" i="16"/>
  <c r="C32" i="16"/>
  <c r="D31" i="16"/>
  <c r="C31" i="16"/>
  <c r="B31" i="16" s="1"/>
  <c r="D28" i="16"/>
  <c r="C28" i="16"/>
  <c r="D27" i="16"/>
  <c r="C27" i="16"/>
  <c r="D26" i="16"/>
  <c r="C26" i="16"/>
  <c r="B26" i="16"/>
  <c r="D25" i="16"/>
  <c r="D22" i="16" s="1"/>
  <c r="C25" i="16"/>
  <c r="D24" i="16"/>
  <c r="C24" i="16"/>
  <c r="D23" i="16"/>
  <c r="C23" i="16"/>
  <c r="D20" i="16"/>
  <c r="C20" i="16"/>
  <c r="B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D9" i="16" s="1"/>
  <c r="C12" i="16"/>
  <c r="B12" i="16" s="1"/>
  <c r="D11" i="16"/>
  <c r="C11" i="16"/>
  <c r="B11" i="16"/>
  <c r="D10" i="16"/>
  <c r="C10" i="16"/>
  <c r="B119" i="15"/>
  <c r="B118" i="15"/>
  <c r="B111" i="15"/>
  <c r="B110" i="15"/>
  <c r="B101" i="15"/>
  <c r="B100" i="15"/>
  <c r="B92" i="15"/>
  <c r="B91" i="15"/>
  <c r="D87" i="15"/>
  <c r="C87" i="15"/>
  <c r="B87" i="15" s="1"/>
  <c r="D120" i="15"/>
  <c r="C120" i="15"/>
  <c r="B120" i="15" s="1"/>
  <c r="D119" i="15"/>
  <c r="C119" i="15"/>
  <c r="D118" i="15"/>
  <c r="C118" i="15"/>
  <c r="D117" i="15"/>
  <c r="C117" i="15"/>
  <c r="B117" i="15" s="1"/>
  <c r="D116" i="15"/>
  <c r="C116" i="15"/>
  <c r="B116" i="15" s="1"/>
  <c r="D115" i="15"/>
  <c r="B115" i="15" s="1"/>
  <c r="C115" i="15"/>
  <c r="D114" i="15"/>
  <c r="C114" i="15"/>
  <c r="B114" i="15" s="1"/>
  <c r="D113" i="15"/>
  <c r="C113" i="15"/>
  <c r="B113" i="15" s="1"/>
  <c r="D112" i="15"/>
  <c r="C112" i="15"/>
  <c r="B112" i="15" s="1"/>
  <c r="D111" i="15"/>
  <c r="C111" i="15"/>
  <c r="D110" i="15"/>
  <c r="C110" i="15"/>
  <c r="D109" i="15"/>
  <c r="C109" i="15"/>
  <c r="B109" i="15" s="1"/>
  <c r="D108" i="15"/>
  <c r="D107" i="15" s="1"/>
  <c r="C108" i="15"/>
  <c r="B108" i="15" s="1"/>
  <c r="D105" i="15"/>
  <c r="B105" i="15" s="1"/>
  <c r="C105" i="15"/>
  <c r="D104" i="15"/>
  <c r="C104" i="15"/>
  <c r="B104" i="15" s="1"/>
  <c r="D103" i="15"/>
  <c r="C103" i="15"/>
  <c r="B103" i="15" s="1"/>
  <c r="D102" i="15"/>
  <c r="C102" i="15"/>
  <c r="B102" i="15" s="1"/>
  <c r="D101" i="15"/>
  <c r="C101" i="15"/>
  <c r="D100" i="15"/>
  <c r="D99" i="15" s="1"/>
  <c r="C100" i="15"/>
  <c r="C99" i="15" s="1"/>
  <c r="B99" i="15" s="1"/>
  <c r="C97" i="15"/>
  <c r="B97" i="15" s="1"/>
  <c r="C96" i="15"/>
  <c r="B96" i="15" s="1"/>
  <c r="C95" i="15"/>
  <c r="B95" i="15" s="1"/>
  <c r="C94" i="15"/>
  <c r="B94" i="15" s="1"/>
  <c r="C93" i="15"/>
  <c r="B93" i="15" s="1"/>
  <c r="C92" i="15"/>
  <c r="C91" i="15"/>
  <c r="C90" i="15"/>
  <c r="C89" i="15"/>
  <c r="B89" i="15" s="1"/>
  <c r="C88" i="15"/>
  <c r="B88" i="15" s="1"/>
  <c r="D97" i="15"/>
  <c r="D96" i="15"/>
  <c r="D95" i="15"/>
  <c r="D94" i="15"/>
  <c r="D93" i="15"/>
  <c r="D92" i="15"/>
  <c r="D91" i="15"/>
  <c r="D90" i="15"/>
  <c r="B90" i="15" s="1"/>
  <c r="D89" i="15"/>
  <c r="D88" i="15"/>
  <c r="D86" i="15" s="1"/>
  <c r="D84" i="15" s="1"/>
  <c r="D149" i="15"/>
  <c r="C149" i="15"/>
  <c r="D141" i="15"/>
  <c r="C141" i="15"/>
  <c r="D128" i="15"/>
  <c r="D125" i="15"/>
  <c r="C128" i="15"/>
  <c r="B128" i="15" s="1"/>
  <c r="C125" i="15"/>
  <c r="B125" i="15" s="1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7" i="15"/>
  <c r="B146" i="15"/>
  <c r="B145" i="15"/>
  <c r="B144" i="15"/>
  <c r="B143" i="15"/>
  <c r="B142" i="15"/>
  <c r="B139" i="15"/>
  <c r="B138" i="15"/>
  <c r="B137" i="15"/>
  <c r="B136" i="15"/>
  <c r="B135" i="15"/>
  <c r="B134" i="15"/>
  <c r="B133" i="15"/>
  <c r="B132" i="15"/>
  <c r="B131" i="15"/>
  <c r="B130" i="15"/>
  <c r="B129" i="15"/>
  <c r="D191" i="15"/>
  <c r="B191" i="15" s="1"/>
  <c r="C191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D183" i="15"/>
  <c r="C183" i="15"/>
  <c r="C167" i="15" s="1"/>
  <c r="B167" i="15" s="1"/>
  <c r="B189" i="15"/>
  <c r="B188" i="15"/>
  <c r="B187" i="15"/>
  <c r="B186" i="15"/>
  <c r="B185" i="15"/>
  <c r="B184" i="15"/>
  <c r="D170" i="15"/>
  <c r="D167" i="15"/>
  <c r="C170" i="15"/>
  <c r="B181" i="15"/>
  <c r="B180" i="15"/>
  <c r="B179" i="15"/>
  <c r="B178" i="15"/>
  <c r="B177" i="15"/>
  <c r="B176" i="15"/>
  <c r="B175" i="15"/>
  <c r="B174" i="15"/>
  <c r="B173" i="15"/>
  <c r="B172" i="15"/>
  <c r="B171" i="15"/>
  <c r="C67" i="15"/>
  <c r="C68" i="15"/>
  <c r="C72" i="15" s="1"/>
  <c r="B67" i="15"/>
  <c r="H63" i="15"/>
  <c r="H62" i="15"/>
  <c r="I64" i="15"/>
  <c r="C32" i="15"/>
  <c r="B32" i="15"/>
  <c r="H27" i="15"/>
  <c r="I29" i="15"/>
  <c r="H28" i="15"/>
  <c r="D12" i="15"/>
  <c r="D11" i="15"/>
  <c r="D10" i="15"/>
  <c r="D9" i="15"/>
  <c r="D8" i="15"/>
  <c r="D7" i="15"/>
  <c r="D6" i="15"/>
  <c r="B68" i="15"/>
  <c r="G68" i="15" s="1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68" i="15" s="1"/>
  <c r="H68" i="15" s="1"/>
  <c r="D42" i="15"/>
  <c r="D41" i="15"/>
  <c r="D40" i="15"/>
  <c r="D39" i="15"/>
  <c r="C33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33" i="15" s="1"/>
  <c r="D5" i="15"/>
  <c r="D4" i="15"/>
  <c r="D32" i="15"/>
  <c r="B33" i="15"/>
  <c r="B149" i="15"/>
  <c r="B141" i="15"/>
  <c r="B170" i="15"/>
  <c r="B33" i="16"/>
  <c r="B28" i="16"/>
  <c r="B126" i="16"/>
  <c r="B15" i="16"/>
  <c r="B16" i="16"/>
  <c r="B32" i="16"/>
  <c r="B36" i="16"/>
  <c r="B23" i="16"/>
  <c r="B27" i="16"/>
  <c r="B10" i="16"/>
  <c r="B14" i="16"/>
  <c r="C9" i="16"/>
  <c r="C22" i="16"/>
  <c r="B22" i="16" s="1"/>
  <c r="B41" i="16"/>
  <c r="B40" i="16"/>
  <c r="B39" i="16"/>
  <c r="B37" i="16"/>
  <c r="B25" i="16"/>
  <c r="B24" i="16"/>
  <c r="B19" i="16"/>
  <c r="B18" i="16"/>
  <c r="B17" i="16"/>
  <c r="B13" i="16"/>
  <c r="B59" i="16"/>
  <c r="C110" i="16"/>
  <c r="B134" i="17"/>
  <c r="B20" i="17"/>
  <c r="B18" i="17"/>
  <c r="B16" i="17"/>
  <c r="B14" i="17"/>
  <c r="B12" i="17"/>
  <c r="B59" i="17"/>
  <c r="B126" i="17"/>
  <c r="B80" i="17"/>
  <c r="B9" i="17" l="1"/>
  <c r="B7" i="17" s="1"/>
  <c r="C7" i="17"/>
  <c r="B56" i="17"/>
  <c r="D7" i="17"/>
  <c r="D72" i="15"/>
  <c r="H33" i="15"/>
  <c r="C110" i="17"/>
  <c r="B110" i="17" s="1"/>
  <c r="B9" i="16"/>
  <c r="C30" i="16"/>
  <c r="C7" i="16" s="1"/>
  <c r="C107" i="15"/>
  <c r="B107" i="15" s="1"/>
  <c r="B24" i="17"/>
  <c r="B183" i="15"/>
  <c r="C86" i="15"/>
  <c r="B72" i="17"/>
  <c r="D110" i="16"/>
  <c r="B110" i="16" s="1"/>
  <c r="G33" i="15"/>
  <c r="D30" i="16"/>
  <c r="D7" i="16" s="1"/>
  <c r="B72" i="16"/>
  <c r="B72" i="15"/>
  <c r="B17" i="17"/>
  <c r="B56" i="18"/>
  <c r="B22" i="18"/>
  <c r="B7" i="18" s="1"/>
  <c r="C7" i="18"/>
  <c r="B53" i="19"/>
  <c r="D50" i="19"/>
  <c r="B50" i="19" s="1"/>
  <c r="B96" i="19"/>
  <c r="D93" i="19"/>
  <c r="B93" i="19" s="1"/>
  <c r="B9" i="19"/>
  <c r="B6" i="19" s="1"/>
  <c r="C84" i="15" l="1"/>
  <c r="B86" i="15"/>
  <c r="B84" i="15" s="1"/>
  <c r="B30" i="16"/>
  <c r="B7" i="16"/>
</calcChain>
</file>

<file path=xl/sharedStrings.xml><?xml version="1.0" encoding="utf-8"?>
<sst xmlns="http://schemas.openxmlformats.org/spreadsheetml/2006/main" count="1534" uniqueCount="126">
  <si>
    <t>EDAD/AÑO</t>
  </si>
  <si>
    <t>HOMBRES</t>
  </si>
  <si>
    <t>MUJERES</t>
  </si>
  <si>
    <t>TOTAL</t>
  </si>
  <si>
    <t>EDUARDO FREI M.</t>
  </si>
  <si>
    <t xml:space="preserve"> 25-29</t>
  </si>
  <si>
    <t xml:space="preserve"> 30-34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</si>
  <si>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</si>
  <si>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</si>
  <si>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</si>
  <si>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</si>
  <si>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</si>
  <si>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</si>
  <si>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</si>
  <si>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</si>
  <si>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>SANTA ANSELMA</t>
  </si>
  <si>
    <t xml:space="preserve"> 35-39 </t>
  </si>
  <si>
    <t>VALIDADA</t>
  </si>
  <si>
    <t xml:space="preserve"> 80 Y MAS</t>
  </si>
  <si>
    <t>COMUNAL</t>
  </si>
  <si>
    <t>15-19</t>
  </si>
  <si>
    <t>20-24</t>
  </si>
  <si>
    <t>POBLACION INSCRITA VALIDADA SSMS AÑO 2014</t>
  </si>
  <si>
    <t>COMUNA</t>
  </si>
  <si>
    <t>ESTABLECIMIENTOS</t>
  </si>
  <si>
    <t>Grupos  de edad</t>
  </si>
  <si>
    <t>LA CISTERNA</t>
  </si>
  <si>
    <t>Total SSMS</t>
  </si>
  <si>
    <t>Total 0-9 Años</t>
  </si>
  <si>
    <t>Sin información</t>
  </si>
  <si>
    <t>&lt; 1 años</t>
  </si>
  <si>
    <t>1 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</si>
  <si>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</si>
  <si>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</si>
  <si>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</si>
  <si>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</si>
  <si>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</si>
  <si>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</si>
  <si>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</si>
  <si>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</si>
  <si>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Total 10-19 Años</t>
  </si>
  <si>
    <t>10 años</t>
  </si>
  <si>
    <t>11 años</t>
  </si>
  <si>
    <t>12 años</t>
  </si>
  <si>
    <t>13 años</t>
  </si>
  <si>
    <t>14 años</t>
  </si>
  <si>
    <t>15-19 años</t>
  </si>
  <si>
    <t>Total 20 y más años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</si>
  <si>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</si>
  <si>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</si>
  <si>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</si>
  <si>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</si>
  <si>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</si>
  <si>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</si>
  <si>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</si>
  <si>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</si>
  <si>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</si>
  <si>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</si>
  <si>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</si>
  <si>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mas</t>
  </si>
  <si>
    <t>2.-POBLACION   FEMENINA</t>
  </si>
  <si>
    <t>Sub-Total P. Femenina</t>
  </si>
  <si>
    <t>Sin Información</t>
  </si>
  <si>
    <t>3.-POBLACION   MASCULINA</t>
  </si>
  <si>
    <t>Sub-Total P. Masculina</t>
  </si>
  <si>
    <t>SIN INFORMACION</t>
  </si>
  <si>
    <t>3.-POBLACION   MASCULINA       2015</t>
  </si>
  <si>
    <t>2.-POBLACION   FEMENINA     2015</t>
  </si>
  <si>
    <t>1.- POBLACION  INSCRITA TOTAL          2015</t>
  </si>
  <si>
    <t>1.- POBLACION  INSCRITA TOTAL          2016</t>
  </si>
  <si>
    <t>2.-POBLACION   FEMENINA     2016</t>
  </si>
  <si>
    <t>3.-POBLACION   MASCULINA       2016</t>
  </si>
  <si>
    <t xml:space="preserve">1.- POBLACION  INSCRITA TOTAL    2014      </t>
  </si>
  <si>
    <t>1.- POBLACION  INSCRITA TOTAL          2017</t>
  </si>
  <si>
    <t>POBLACION INSCRITA VALIDADA SSMS AÑO 2017</t>
  </si>
  <si>
    <t>2.-POBLACION   FEMENINA     2017</t>
  </si>
  <si>
    <t>3.-POBLACION   MASCULINA       2017</t>
  </si>
  <si>
    <t>OTROS GRUPOS PROGRAMATICOS</t>
  </si>
  <si>
    <t>POBL. TOTAL 15 Y MAS AÑOS</t>
  </si>
  <si>
    <t>POBL. TOTAL 20 A 64 AÑOS</t>
  </si>
  <si>
    <t>POBL. TOTAL 65 Y MAS AÑOS</t>
  </si>
  <si>
    <t>POBL. TOTAL 20 A 64 AÑOS 5%</t>
  </si>
  <si>
    <t>POBL. TOTAL 20 A 64 AÑOS 20%</t>
  </si>
  <si>
    <t>POBL. 20 Y MAS AÑOS</t>
  </si>
  <si>
    <t>POBL. TOTAL 15 Y MAS AÑOS FEMENINA</t>
  </si>
  <si>
    <t>POBL. TOTAL 15 Y MAS AÑOS MASCULINA</t>
  </si>
  <si>
    <t>POBL. TOTAL 15 Y MAS AÑOS FEMENINA (4,8%)</t>
  </si>
  <si>
    <t>POBL. TOTAL 15 Y MAS AÑOS MASCULINA (1,5%)</t>
  </si>
  <si>
    <t>POBL. TOTAL 15 Y MAS AÑOS FEMENINA (6%)</t>
  </si>
  <si>
    <t>POBL. TOTAL 15 Y MAS AÑOS MASCULINA (3%)</t>
  </si>
  <si>
    <t>POBLACION INSCRITA VALIDADA SSMS AÑO 2018</t>
  </si>
  <si>
    <t>1.- POBLACION  INSCRITA TOTAL          2018</t>
  </si>
  <si>
    <t>2.-POBLACION   FEMENINA     2018</t>
  </si>
  <si>
    <t>3.-POBLACION   MASCULINA       2018</t>
  </si>
  <si>
    <t>POBLACION INSCRITA VALIDADA SSMS AÑO 2020</t>
  </si>
  <si>
    <t>1.- POBLACION  INSCRITA TOTAL          2020</t>
  </si>
  <si>
    <t>2.-POBLACION   FEMENINA     2020</t>
  </si>
  <si>
    <t>3.-POBLACION   MASCULINA       2020</t>
  </si>
  <si>
    <t>3.-POBLACION   MASCULINA       2019</t>
  </si>
  <si>
    <t>2.-POBLACION   FEMENINA     2019</t>
  </si>
  <si>
    <t>POBLACION INSCRITA VALIDADA SSMS AÑO 2019</t>
  </si>
  <si>
    <t>1.- POBLACION  INSCRITA TOTAL          2019</t>
  </si>
  <si>
    <t>CECOSF</t>
  </si>
  <si>
    <t>1.- POBLACION  INSCRITA TOTAL          2021</t>
  </si>
  <si>
    <t>2.-POBLACION   FEMENINA     2021</t>
  </si>
  <si>
    <t>3.-POBLACION   MASCULINA       2021</t>
  </si>
  <si>
    <t>1.- POBLACION  INSCRITA TOTAL          2022</t>
  </si>
  <si>
    <t>3.-POBLACION   MASCULINA       2022</t>
  </si>
  <si>
    <t>2.-POBLACION   FEMENINA     2022</t>
  </si>
  <si>
    <t>POBLACION INSCRITA VALIDADA SSMS AÑO 2022</t>
  </si>
  <si>
    <t>1.- POBLACION  INSCRITA TOTAL          2023</t>
  </si>
  <si>
    <t>POBLACION INSCRITA VALIDADA SSMS AÑO 2024</t>
  </si>
  <si>
    <t>1.- POBLACION  INSCRITA TOTAL          2024</t>
  </si>
  <si>
    <t>DEFINITIVA</t>
  </si>
  <si>
    <t>2.-POBLACION   FEMENINA     2024</t>
  </si>
  <si>
    <t>3.-POBLACION   MASCULINA       2024</t>
  </si>
  <si>
    <t>2.-POBLACION   FEMENINA     2023</t>
  </si>
  <si>
    <t>3.-POBLACION   MASCULINA       2023</t>
  </si>
  <si>
    <t>POBLACION INSCRITA VALIDADA SSMS AÑO 2025</t>
  </si>
  <si>
    <t>1.- POBLACION  INSCRITA TOTAL          2025</t>
  </si>
  <si>
    <t>POBLACION INSCRITA VALIDADA SSMS AÑO 2026</t>
  </si>
  <si>
    <t>1.- POBLACION  INSCRITA TOTAL          2026</t>
  </si>
  <si>
    <t>2.-POBLACION   FEMENINA     2026</t>
  </si>
  <si>
    <t>3.-POBLACION   MASCULINA       2026</t>
  </si>
  <si>
    <t>2.-POBLACION   FEMENINA     2025</t>
  </si>
  <si>
    <t>3.-POBLACION   MASCULINA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</si>
</sst>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4"/>
      <color indexed="18"/>
      <name val="Arial"/>
      <family val="2"/>
    </font>
    <font>
      <sz val="18"/>
      <name val="Arial"/>
      <family val="2"/>
    </font>
    <font>
      <b/>
      <i/>
      <u/>
      <sz val="10"/>
      <name val="Arial"/>
      <family val="2"/>
    </font>
    <font>
      <b/>
      <sz val="14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9"/>
      <color theme="9" tint="-0.249977111117893"/>
      <name val="Arial"/>
      <family val="2"/>
    </font>
    <font>
      <b/>
      <sz val="9"/>
      <color rgb="FF2121FF"/>
      <name val="Arial"/>
      <family val="2"/>
    </font>
    <font>
      <b/>
      <sz val="10"/>
      <color rgb="FFFF0000"/>
      <name val="Arial"/>
      <family val="2"/>
    </font>
    <font>
      <b/>
      <sz val="18"/>
      <color rgb="FF7030A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 Black"/>
      <family val="2"/>
    </font>
    <font>
      <b/>
      <sz val="11"/>
      <color theme="1"/>
      <name val="Arial"/>
      <family val="2"/>
    </font>
    <font>
      <b/>
      <sz val="12"/>
      <color rgb="FF2121FF"/>
      <name val="Arial"/>
      <family val="2"/>
    </font>
    <font>
      <b/>
      <sz val="12"/>
      <color indexed="62"/>
      <name val="Arial"/>
      <family val="2"/>
    </font>
    <font>
      <b/>
      <sz val="11"/>
      <color theme="1"/>
      <name val="Arial Black"/>
      <family val="2"/>
    </font>
    <font>
      <b/>
      <sz val="18"/>
      <color rgb="FF7030A0"/>
      <name val="Bahnschrift Light SemiCondensed"/>
      <family val="2"/>
    </font>
    <font>
      <b/>
      <sz val="18"/>
      <color rgb="FFFF0000"/>
      <name val="Arial"/>
      <family val="2"/>
    </font>
    <font>
      <b/>
      <sz val="14"/>
      <color indexed="18"/>
      <name val="Arial Black"/>
      <family val="2"/>
    </font>
    <font>
      <b/>
      <sz val="12"/>
      <name val="Arial Black"/>
      <family val="2"/>
    </font>
    <font>
      <sz val="12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6" borderId="2" xfId="0" applyNumberFormat="1" applyFont="1" applyFill="1" applyBorder="1" applyAlignment="1">
      <alignment horizontal="center"/>
    </xf>
    <xf numFmtId="3" fontId="2" fillId="10" borderId="2" xfId="0" applyNumberFormat="1" applyFont="1" applyFill="1" applyBorder="1"/>
    <xf numFmtId="0" fontId="2" fillId="10" borderId="3" xfId="0" applyFont="1" applyFill="1" applyBorder="1"/>
    <xf numFmtId="0" fontId="2" fillId="10" borderId="2" xfId="0" applyFont="1" applyFill="1" applyBorder="1"/>
    <xf numFmtId="0" fontId="2" fillId="10" borderId="6" xfId="0" applyFont="1" applyFill="1" applyBorder="1"/>
    <xf numFmtId="9" fontId="15" fillId="7" borderId="0" xfId="2" applyFont="1" applyFill="1" applyAlignment="1">
      <alignment horizontal="center"/>
    </xf>
    <xf numFmtId="0" fontId="0" fillId="7" borderId="2" xfId="0" applyFill="1" applyBorder="1"/>
    <xf numFmtId="1" fontId="0" fillId="7" borderId="2" xfId="0" applyNumberFormat="1" applyFill="1" applyBorder="1"/>
    <xf numFmtId="0" fontId="16" fillId="0" borderId="0" xfId="0" applyFont="1"/>
    <xf numFmtId="3" fontId="7" fillId="0" borderId="0" xfId="1" applyNumberFormat="1" applyFont="1"/>
    <xf numFmtId="3" fontId="17" fillId="0" borderId="0" xfId="1" quotePrefix="1" applyNumberFormat="1" applyFont="1" applyAlignment="1">
      <alignment vertical="center" wrapText="1"/>
    </xf>
    <xf numFmtId="3" fontId="7" fillId="0" borderId="7" xfId="1" applyNumberFormat="1" applyFont="1" applyBorder="1" applyAlignment="1">
      <alignment vertical="top"/>
    </xf>
    <xf numFmtId="3" fontId="18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8" xfId="1" applyNumberFormat="1" applyFont="1" applyBorder="1" applyAlignment="1">
      <alignment horizontal="center" vertical="top"/>
    </xf>
    <xf numFmtId="3" fontId="10" fillId="12" borderId="7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/>
    </xf>
    <xf numFmtId="3" fontId="19" fillId="13" borderId="9" xfId="1" applyNumberFormat="1" applyFont="1" applyFill="1" applyBorder="1" applyAlignment="1">
      <alignment horizontal="center"/>
    </xf>
    <xf numFmtId="3" fontId="11" fillId="0" borderId="9" xfId="1" applyNumberFormat="1" applyFont="1" applyBorder="1" applyAlignment="1">
      <alignment horizontal="center"/>
    </xf>
    <xf numFmtId="3" fontId="9" fillId="0" borderId="0" xfId="1" applyNumberFormat="1" applyFont="1"/>
    <xf numFmtId="3" fontId="7" fillId="0" borderId="2" xfId="1" applyNumberFormat="1" applyFont="1" applyBorder="1" applyAlignment="1">
      <alignment horizontal="center"/>
    </xf>
    <xf numFmtId="3" fontId="19" fillId="11" borderId="2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7" fillId="0" borderId="2" xfId="1" quotePrefix="1" applyNumberFormat="1" applyFont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7" fillId="0" borderId="0" xfId="1" applyNumberFormat="1" applyFont="1" applyAlignment="1">
      <alignment horizontal="center"/>
    </xf>
    <xf numFmtId="3" fontId="7" fillId="0" borderId="0" xfId="1" quotePrefix="1" applyNumberFormat="1" applyFont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2" xfId="1" quotePrefix="1" applyFont="1" applyBorder="1" applyAlignment="1">
      <alignment horizontal="center"/>
    </xf>
    <xf numFmtId="0" fontId="7" fillId="0" borderId="0" xfId="1" applyFont="1" applyAlignment="1">
      <alignment horizontal="center"/>
    </xf>
    <xf numFmtId="3" fontId="11" fillId="0" borderId="0" xfId="1" applyNumberFormat="1" applyFont="1" applyAlignment="1" applyProtection="1">
      <alignment horizontal="center"/>
      <protection locked="0"/>
    </xf>
    <xf numFmtId="3" fontId="8" fillId="0" borderId="0" xfId="1" quotePrefix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left"/>
    </xf>
    <xf numFmtId="0" fontId="20" fillId="8" borderId="2" xfId="0" applyFont="1" applyFill="1" applyBorder="1" applyAlignment="1">
      <alignment horizontal="center"/>
    </xf>
    <xf numFmtId="164" fontId="0" fillId="0" borderId="0" xfId="2" applyNumberFormat="1" applyFont="1"/>
    <xf numFmtId="0" fontId="0" fillId="7" borderId="0" xfId="0" applyFill="1"/>
    <xf numFmtId="3" fontId="7" fillId="7" borderId="0" xfId="1" applyNumberFormat="1" applyFont="1" applyFill="1"/>
    <xf numFmtId="3" fontId="9" fillId="7" borderId="0" xfId="1" applyNumberFormat="1" applyFont="1" applyFill="1"/>
    <xf numFmtId="0" fontId="22" fillId="7" borderId="2" xfId="0" applyFont="1" applyFill="1" applyBorder="1" applyAlignment="1">
      <alignment horizontal="center"/>
    </xf>
    <xf numFmtId="3" fontId="22" fillId="14" borderId="2" xfId="0" applyNumberFormat="1" applyFont="1" applyFill="1" applyBorder="1"/>
    <xf numFmtId="0" fontId="24" fillId="8" borderId="0" xfId="1" applyFont="1" applyFill="1" applyAlignment="1">
      <alignment horizontal="center"/>
    </xf>
    <xf numFmtId="0" fontId="7" fillId="15" borderId="2" xfId="0" applyFont="1" applyFill="1" applyBorder="1"/>
    <xf numFmtId="3" fontId="23" fillId="15" borderId="2" xfId="0" applyNumberFormat="1" applyFont="1" applyFill="1" applyBorder="1" applyAlignment="1">
      <alignment horizontal="center"/>
    </xf>
    <xf numFmtId="3" fontId="19" fillId="13" borderId="11" xfId="1" applyNumberFormat="1" applyFont="1" applyFill="1" applyBorder="1" applyAlignment="1">
      <alignment horizontal="center"/>
    </xf>
    <xf numFmtId="3" fontId="19" fillId="11" borderId="17" xfId="1" applyNumberFormat="1" applyFont="1" applyFill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3" fontId="11" fillId="0" borderId="19" xfId="1" applyNumberFormat="1" applyFont="1" applyBorder="1" applyAlignment="1">
      <alignment horizontal="center"/>
    </xf>
    <xf numFmtId="3" fontId="11" fillId="0" borderId="20" xfId="1" applyNumberFormat="1" applyFont="1" applyBorder="1" applyAlignment="1">
      <alignment horizontal="center"/>
    </xf>
    <xf numFmtId="3" fontId="22" fillId="7" borderId="0" xfId="0" applyNumberFormat="1" applyFont="1" applyFill="1" applyAlignment="1">
      <alignment horizontal="center"/>
    </xf>
    <xf numFmtId="3" fontId="9" fillId="0" borderId="0" xfId="1" applyNumberFormat="1" applyFont="1" applyAlignment="1">
      <alignment horizontal="center"/>
    </xf>
    <xf numFmtId="3" fontId="19" fillId="11" borderId="21" xfId="1" applyNumberFormat="1" applyFont="1" applyFill="1" applyBorder="1" applyAlignment="1">
      <alignment horizontal="center"/>
    </xf>
    <xf numFmtId="3" fontId="25" fillId="14" borderId="9" xfId="1" applyNumberFormat="1" applyFont="1" applyFill="1" applyBorder="1" applyAlignment="1">
      <alignment horizontal="center"/>
    </xf>
    <xf numFmtId="3" fontId="26" fillId="7" borderId="9" xfId="1" applyNumberFormat="1" applyFont="1" applyFill="1" applyBorder="1" applyAlignment="1">
      <alignment horizontal="center"/>
    </xf>
    <xf numFmtId="3" fontId="27" fillId="7" borderId="9" xfId="1" applyNumberFormat="1" applyFont="1" applyFill="1" applyBorder="1" applyAlignment="1">
      <alignment horizontal="center"/>
    </xf>
    <xf numFmtId="3" fontId="28" fillId="14" borderId="9" xfId="1" applyNumberFormat="1" applyFont="1" applyFill="1" applyBorder="1" applyAlignment="1">
      <alignment horizontal="center"/>
    </xf>
    <xf numFmtId="3" fontId="32" fillId="7" borderId="0" xfId="0" applyNumberFormat="1" applyFont="1" applyFill="1" applyAlignment="1">
      <alignment horizontal="center"/>
    </xf>
    <xf numFmtId="0" fontId="33" fillId="0" borderId="0" xfId="0" applyFont="1"/>
    <xf numFmtId="0" fontId="14" fillId="0" borderId="0" xfId="0" applyFont="1" applyAlignment="1">
      <alignment horizontal="center"/>
    </xf>
    <xf numFmtId="3" fontId="21" fillId="11" borderId="0" xfId="1" quotePrefix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9" fillId="0" borderId="11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3" fontId="12" fillId="9" borderId="13" xfId="1" applyNumberFormat="1" applyFont="1" applyFill="1" applyBorder="1" applyAlignment="1">
      <alignment horizontal="center" wrapText="1"/>
    </xf>
    <xf numFmtId="3" fontId="12" fillId="9" borderId="0" xfId="1" applyNumberFormat="1" applyFont="1" applyFill="1" applyAlignment="1">
      <alignment horizontal="center" wrapText="1"/>
    </xf>
    <xf numFmtId="3" fontId="12" fillId="0" borderId="14" xfId="1" applyNumberFormat="1" applyFont="1" applyBorder="1" applyAlignment="1">
      <alignment horizontal="center" wrapText="1"/>
    </xf>
    <xf numFmtId="3" fontId="12" fillId="0" borderId="15" xfId="1" applyNumberFormat="1" applyFont="1" applyBorder="1" applyAlignment="1">
      <alignment horizontal="center" wrapText="1"/>
    </xf>
    <xf numFmtId="3" fontId="9" fillId="0" borderId="16" xfId="1" applyNumberFormat="1" applyFont="1" applyBorder="1" applyAlignment="1">
      <alignment horizontal="center" vertical="center"/>
    </xf>
    <xf numFmtId="3" fontId="29" fillId="11" borderId="0" xfId="1" quotePrefix="1" applyNumberFormat="1" applyFont="1" applyFill="1" applyAlignment="1">
      <alignment horizontal="center" vertical="center" wrapText="1"/>
    </xf>
    <xf numFmtId="3" fontId="30" fillId="11" borderId="0" xfId="1" quotePrefix="1" applyNumberFormat="1" applyFont="1" applyFill="1" applyAlignment="1">
      <alignment horizontal="center" vertical="center" wrapText="1"/>
    </xf>
    <xf numFmtId="3" fontId="31" fillId="9" borderId="13" xfId="1" applyNumberFormat="1" applyFont="1" applyFill="1" applyBorder="1" applyAlignment="1">
      <alignment horizontal="center" wrapText="1"/>
    </xf>
    <xf numFmtId="3" fontId="31" fillId="9" borderId="0" xfId="1" applyNumberFormat="1" applyFont="1" applyFill="1" applyAlignment="1">
      <alignment horizontal="center" wrapText="1"/>
    </xf>
  </cellXfs>
  <cellStyles count="3">
    <cellStyle name="Normal" xfId="0" builtinId="0"/>
    <cellStyle name="Normal 2 3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4"/>
  <sheetViews>
    <sheetView topLeftCell="A78" workbookViewId="0">
      <selection activeCell="F81" sqref="F81"/>
    </sheetView>
  </sheetViews>
  <sheetFormatPr baseColWidth="10" defaultRowHeight="13.2" x14ac:dyDescent="0.25"/>
  <cols>
    <col min="1" max="1" width="19.5546875" bestFit="1" customWidth="1"/>
    <col min="2" max="4" width="17.6640625" customWidth="1"/>
    <col min="5" max="5" width="4" customWidth="1"/>
  </cols>
  <sheetData>
    <row r="1" spans="1:4" ht="17.399999999999999" hidden="1" x14ac:dyDescent="0.3">
      <c r="A1" s="2"/>
      <c r="B1" s="3" t="s">
        <v>4</v>
      </c>
      <c r="C1" s="2"/>
      <c r="D1" s="14">
        <v>2014</v>
      </c>
    </row>
    <row r="2" spans="1:4" hidden="1" x14ac:dyDescent="0.25">
      <c r="A2" s="2"/>
      <c r="B2" s="15" t="s">
        <v>1</v>
      </c>
      <c r="C2" s="17" t="s">
        <v>2</v>
      </c>
      <c r="D2" s="19" t="s">
        <v>3</v>
      </c>
    </row>
    <row r="3" spans="1:4" hidden="1" x14ac:dyDescent="0.25">
      <c r="A3" s="4" t="s">
        <v>0</v>
      </c>
      <c r="B3" s="16" t="s">
        <v>17</v>
      </c>
      <c r="C3" s="18" t="s">
        <v>17</v>
      </c>
      <c r="D3" s="19" t="s">
        <v>17</v>
      </c>
    </row>
    <row r="4" spans="1:4" hidden="1" x14ac:dyDescent="0.25">
      <c r="A4" s="5">
        <v>0</v>
      </c>
      <c r="B4" s="6">
        <v>111</v>
      </c>
      <c r="C4" s="7">
        <v>112</v>
      </c>
      <c r="D4" s="6">
        <f t="shared" ref="D4:D32" si="0">+B4+C4</f>
        <v>223</v>
      </c>
    </row>
    <row r="5" spans="1:4" hidden="1" x14ac:dyDescent="0.25">
      <c r="A5" s="5">
        <v>1</v>
      </c>
      <c r="B5" s="6">
        <v>163</v>
      </c>
      <c r="C5" s="7">
        <v>145</v>
      </c>
      <c r="D5" s="6">
        <f t="shared" si="0"/>
        <v>308</v>
      </c>
    </row>
    <row r="6" spans="1:4" hidden="1" x14ac:dyDescent="0.25">
      <c r="A6" s="5">
        <v>2</v>
      </c>
      <c r="B6" s="6">
        <v>170</v>
      </c>
      <c r="C6" s="7">
        <v>135</v>
      </c>
      <c r="D6" s="6">
        <f t="shared" si="0"/>
        <v>305</v>
      </c>
    </row>
    <row r="7" spans="1:4" hidden="1" x14ac:dyDescent="0.25">
      <c r="A7" s="5">
        <v>3</v>
      </c>
      <c r="B7" s="6">
        <v>174</v>
      </c>
      <c r="C7" s="7">
        <v>137</v>
      </c>
      <c r="D7" s="6">
        <f t="shared" si="0"/>
        <v>311</v>
      </c>
    </row>
    <row r="8" spans="1:4" hidden="1" x14ac:dyDescent="0.25">
      <c r="A8" s="5">
        <v>4</v>
      </c>
      <c r="B8" s="6">
        <v>162</v>
      </c>
      <c r="C8" s="7">
        <v>145</v>
      </c>
      <c r="D8" s="6">
        <f t="shared" si="0"/>
        <v>307</v>
      </c>
    </row>
    <row r="9" spans="1:4" hidden="1" x14ac:dyDescent="0.25">
      <c r="A9" s="5">
        <v>5</v>
      </c>
      <c r="B9" s="6">
        <v>136</v>
      </c>
      <c r="C9" s="7">
        <v>140</v>
      </c>
      <c r="D9" s="6">
        <f t="shared" si="0"/>
        <v>276</v>
      </c>
    </row>
    <row r="10" spans="1:4" hidden="1" x14ac:dyDescent="0.25">
      <c r="A10" s="5">
        <v>6</v>
      </c>
      <c r="B10" s="6">
        <v>157</v>
      </c>
      <c r="C10" s="7">
        <v>155</v>
      </c>
      <c r="D10" s="6">
        <f t="shared" si="0"/>
        <v>312</v>
      </c>
    </row>
    <row r="11" spans="1:4" hidden="1" x14ac:dyDescent="0.25">
      <c r="A11" s="5">
        <v>7</v>
      </c>
      <c r="B11" s="6">
        <v>133</v>
      </c>
      <c r="C11" s="7">
        <v>132</v>
      </c>
      <c r="D11" s="6">
        <f t="shared" si="0"/>
        <v>265</v>
      </c>
    </row>
    <row r="12" spans="1:4" hidden="1" x14ac:dyDescent="0.25">
      <c r="A12" s="5">
        <v>8</v>
      </c>
      <c r="B12" s="6">
        <v>139</v>
      </c>
      <c r="C12" s="7">
        <v>130</v>
      </c>
      <c r="D12" s="6">
        <f t="shared" si="0"/>
        <v>269</v>
      </c>
    </row>
    <row r="13" spans="1:4" hidden="1" x14ac:dyDescent="0.25">
      <c r="A13" s="5">
        <v>9</v>
      </c>
      <c r="B13" s="6">
        <v>152</v>
      </c>
      <c r="C13" s="7">
        <v>120</v>
      </c>
      <c r="D13" s="6">
        <f t="shared" si="0"/>
        <v>272</v>
      </c>
    </row>
    <row r="14" spans="1:4" hidden="1" x14ac:dyDescent="0.25">
      <c r="A14" s="5">
        <v>10</v>
      </c>
      <c r="B14" s="6">
        <v>152</v>
      </c>
      <c r="C14" s="7">
        <v>148</v>
      </c>
      <c r="D14" s="6">
        <f t="shared" si="0"/>
        <v>300</v>
      </c>
    </row>
    <row r="15" spans="1:4" hidden="1" x14ac:dyDescent="0.25">
      <c r="A15" s="5">
        <v>11</v>
      </c>
      <c r="B15" s="6">
        <v>141</v>
      </c>
      <c r="C15" s="7">
        <v>146</v>
      </c>
      <c r="D15" s="6">
        <f t="shared" si="0"/>
        <v>287</v>
      </c>
    </row>
    <row r="16" spans="1:4" hidden="1" x14ac:dyDescent="0.25">
      <c r="A16" s="5">
        <v>12</v>
      </c>
      <c r="B16" s="6">
        <v>152</v>
      </c>
      <c r="C16" s="7">
        <v>173</v>
      </c>
      <c r="D16" s="6">
        <f t="shared" si="0"/>
        <v>325</v>
      </c>
    </row>
    <row r="17" spans="1:9" hidden="1" x14ac:dyDescent="0.25">
      <c r="A17" s="5">
        <v>13</v>
      </c>
      <c r="B17" s="6">
        <v>160</v>
      </c>
      <c r="C17" s="7">
        <v>177</v>
      </c>
      <c r="D17" s="6">
        <f t="shared" si="0"/>
        <v>337</v>
      </c>
    </row>
    <row r="18" spans="1:9" hidden="1" x14ac:dyDescent="0.25">
      <c r="A18" s="5">
        <v>14</v>
      </c>
      <c r="B18" s="22">
        <v>176</v>
      </c>
      <c r="C18" s="24">
        <v>162</v>
      </c>
      <c r="D18" s="22">
        <f t="shared" si="0"/>
        <v>338</v>
      </c>
    </row>
    <row r="19" spans="1:9" hidden="1" x14ac:dyDescent="0.25">
      <c r="A19" s="5" t="s">
        <v>20</v>
      </c>
      <c r="B19" s="22">
        <v>961</v>
      </c>
      <c r="C19" s="24">
        <v>962</v>
      </c>
      <c r="D19" s="22">
        <f t="shared" si="0"/>
        <v>1923</v>
      </c>
    </row>
    <row r="20" spans="1:9" hidden="1" x14ac:dyDescent="0.25">
      <c r="A20" s="5" t="s">
        <v>21</v>
      </c>
      <c r="B20" s="22">
        <v>893</v>
      </c>
      <c r="C20" s="24">
        <v>939</v>
      </c>
      <c r="D20" s="22">
        <f t="shared" si="0"/>
        <v>1832</v>
      </c>
    </row>
    <row r="21" spans="1:9" hidden="1" x14ac:dyDescent="0.25">
      <c r="A21" s="5" t="s">
        <v>5</v>
      </c>
      <c r="B21" s="22">
        <v>657</v>
      </c>
      <c r="C21" s="24">
        <v>856</v>
      </c>
      <c r="D21" s="22">
        <f t="shared" si="0"/>
        <v>1513</v>
      </c>
    </row>
    <row r="22" spans="1:9" hidden="1" x14ac:dyDescent="0.25">
      <c r="A22" s="5" t="s">
        <v>6</v>
      </c>
      <c r="B22" s="22">
        <v>587</v>
      </c>
      <c r="C22" s="24">
        <v>814</v>
      </c>
      <c r="D22" s="22">
        <f t="shared" si="0"/>
        <v>1401</v>
      </c>
    </row>
    <row r="23" spans="1:9" hidden="1" x14ac:dyDescent="0.25">
      <c r="A23" s="5" t="s">
        <v>16</v>
      </c>
      <c r="B23" s="22">
        <v>553</v>
      </c>
      <c r="C23" s="24">
        <v>763</v>
      </c>
      <c r="D23" s="22">
        <f t="shared" si="0"/>
        <v>1316</v>
      </c>
    </row>
    <row r="24" spans="1:9" hidden="1" x14ac:dyDescent="0.25">
      <c r="A24" s="5" t="s">
        <v>7</v>
      </c>
      <c r="B24" s="22">
        <v>636</v>
      </c>
      <c r="C24" s="24">
        <v>875</v>
      </c>
      <c r="D24" s="22">
        <f t="shared" si="0"/>
        <v>1511</v>
      </c>
    </row>
    <row r="25" spans="1:9" hidden="1" x14ac:dyDescent="0.25">
      <c r="A25" s="5" t="s">
        <v>8</v>
      </c>
      <c r="B25" s="22">
        <v>643</v>
      </c>
      <c r="C25" s="24">
        <v>881</v>
      </c>
      <c r="D25" s="22">
        <f t="shared" si="0"/>
        <v>1524</v>
      </c>
    </row>
    <row r="26" spans="1:9" hidden="1" x14ac:dyDescent="0.25">
      <c r="A26" s="5" t="s">
        <v>9</v>
      </c>
      <c r="B26" s="22">
        <v>749</v>
      </c>
      <c r="C26" s="24">
        <v>953</v>
      </c>
      <c r="D26" s="22">
        <f t="shared" si="0"/>
        <v>1702</v>
      </c>
    </row>
    <row r="27" spans="1:9" hidden="1" x14ac:dyDescent="0.25">
      <c r="A27" s="5" t="s">
        <v>10</v>
      </c>
      <c r="B27" s="22">
        <v>656</v>
      </c>
      <c r="C27" s="24">
        <v>826</v>
      </c>
      <c r="D27" s="22">
        <f t="shared" si="0"/>
        <v>1482</v>
      </c>
      <c r="G27" s="27">
        <v>433</v>
      </c>
      <c r="H27" s="28">
        <f>+G27*46/100</f>
        <v>199.18</v>
      </c>
      <c r="I27" s="27">
        <v>199</v>
      </c>
    </row>
    <row r="28" spans="1:9" hidden="1" x14ac:dyDescent="0.25">
      <c r="A28" s="5" t="s">
        <v>11</v>
      </c>
      <c r="B28" s="22">
        <v>606</v>
      </c>
      <c r="C28" s="24">
        <v>799</v>
      </c>
      <c r="D28" s="22">
        <f t="shared" si="0"/>
        <v>1405</v>
      </c>
      <c r="G28" s="27"/>
      <c r="H28" s="28">
        <f>+G27*54/100</f>
        <v>233.82</v>
      </c>
      <c r="I28" s="27">
        <v>234</v>
      </c>
    </row>
    <row r="29" spans="1:9" hidden="1" x14ac:dyDescent="0.25">
      <c r="A29" s="5" t="s">
        <v>12</v>
      </c>
      <c r="B29" s="22">
        <v>677</v>
      </c>
      <c r="C29" s="24">
        <v>755</v>
      </c>
      <c r="D29" s="22">
        <f t="shared" si="0"/>
        <v>1432</v>
      </c>
      <c r="G29" s="27"/>
      <c r="H29" s="27"/>
      <c r="I29" s="27">
        <f>+I27+I28</f>
        <v>433</v>
      </c>
    </row>
    <row r="30" spans="1:9" hidden="1" x14ac:dyDescent="0.25">
      <c r="A30" s="5" t="s">
        <v>13</v>
      </c>
      <c r="B30" s="22">
        <v>535</v>
      </c>
      <c r="C30" s="24">
        <v>680</v>
      </c>
      <c r="D30" s="22">
        <f t="shared" si="0"/>
        <v>1215</v>
      </c>
    </row>
    <row r="31" spans="1:9" hidden="1" x14ac:dyDescent="0.25">
      <c r="A31" s="5" t="s">
        <v>14</v>
      </c>
      <c r="B31" s="22">
        <v>413</v>
      </c>
      <c r="C31" s="24">
        <v>555</v>
      </c>
      <c r="D31" s="22">
        <f t="shared" si="0"/>
        <v>968</v>
      </c>
    </row>
    <row r="32" spans="1:9" hidden="1" x14ac:dyDescent="0.25">
      <c r="A32" s="5" t="s">
        <v>18</v>
      </c>
      <c r="B32" s="22">
        <f>795+199</f>
        <v>994</v>
      </c>
      <c r="C32" s="24">
        <f>1032+234</f>
        <v>1266</v>
      </c>
      <c r="D32" s="22">
        <f t="shared" si="0"/>
        <v>2260</v>
      </c>
    </row>
    <row r="33" spans="1:8" ht="17.399999999999999" hidden="1" x14ac:dyDescent="0.3">
      <c r="A33" s="8" t="s">
        <v>3</v>
      </c>
      <c r="B33" s="20">
        <f>SUM(B4:B32)</f>
        <v>11838</v>
      </c>
      <c r="C33" s="20">
        <f>SUM(C4:C32)</f>
        <v>14081</v>
      </c>
      <c r="D33" s="20">
        <f>SUM(D4:D32)</f>
        <v>25919</v>
      </c>
      <c r="G33" s="26">
        <f>+B33/D33</f>
        <v>0.4567305837416567</v>
      </c>
      <c r="H33" s="26">
        <f>+C33/D33</f>
        <v>0.54326941625834335</v>
      </c>
    </row>
    <row r="34" spans="1:8" hidden="1" x14ac:dyDescent="0.25">
      <c r="A34" s="2"/>
      <c r="B34" s="2"/>
      <c r="C34" s="2"/>
      <c r="D34" s="2"/>
    </row>
    <row r="35" spans="1:8" hidden="1" x14ac:dyDescent="0.25">
      <c r="A35" s="2"/>
      <c r="B35" s="2"/>
      <c r="C35" s="2"/>
      <c r="D35" s="2"/>
    </row>
    <row r="36" spans="1:8" ht="17.399999999999999" hidden="1" x14ac:dyDescent="0.3">
      <c r="A36" s="2"/>
      <c r="B36" s="3" t="s">
        <v>15</v>
      </c>
      <c r="C36" s="2"/>
      <c r="D36" s="14">
        <v>2014</v>
      </c>
    </row>
    <row r="37" spans="1:8" hidden="1" x14ac:dyDescent="0.25">
      <c r="A37" s="2"/>
      <c r="B37" s="15" t="s">
        <v>1</v>
      </c>
      <c r="C37" s="17" t="s">
        <v>2</v>
      </c>
      <c r="D37" s="19" t="s">
        <v>3</v>
      </c>
    </row>
    <row r="38" spans="1:8" hidden="1" x14ac:dyDescent="0.25">
      <c r="A38" s="4" t="s">
        <v>0</v>
      </c>
      <c r="B38" s="16" t="s">
        <v>17</v>
      </c>
      <c r="C38" s="18" t="s">
        <v>17</v>
      </c>
      <c r="D38" s="19" t="s">
        <v>17</v>
      </c>
    </row>
    <row r="39" spans="1:8" hidden="1" x14ac:dyDescent="0.25">
      <c r="A39" s="9">
        <v>0</v>
      </c>
      <c r="B39" s="10">
        <v>150</v>
      </c>
      <c r="C39" s="10">
        <v>136</v>
      </c>
      <c r="D39" s="7">
        <f t="shared" ref="D39:D67" si="1">+B39+C39</f>
        <v>286</v>
      </c>
    </row>
    <row r="40" spans="1:8" hidden="1" x14ac:dyDescent="0.25">
      <c r="A40" s="9">
        <v>1</v>
      </c>
      <c r="B40" s="10">
        <v>193</v>
      </c>
      <c r="C40" s="10">
        <v>182</v>
      </c>
      <c r="D40" s="7">
        <f t="shared" si="1"/>
        <v>375</v>
      </c>
    </row>
    <row r="41" spans="1:8" hidden="1" x14ac:dyDescent="0.25">
      <c r="A41" s="9">
        <v>2</v>
      </c>
      <c r="B41" s="10">
        <v>185</v>
      </c>
      <c r="C41" s="10">
        <v>188</v>
      </c>
      <c r="D41" s="7">
        <f t="shared" si="1"/>
        <v>373</v>
      </c>
    </row>
    <row r="42" spans="1:8" hidden="1" x14ac:dyDescent="0.25">
      <c r="A42" s="9">
        <v>3</v>
      </c>
      <c r="B42" s="10">
        <v>177</v>
      </c>
      <c r="C42" s="10">
        <v>182</v>
      </c>
      <c r="D42" s="7">
        <f t="shared" si="1"/>
        <v>359</v>
      </c>
    </row>
    <row r="43" spans="1:8" hidden="1" x14ac:dyDescent="0.25">
      <c r="A43" s="9">
        <v>4</v>
      </c>
      <c r="B43" s="10">
        <v>199</v>
      </c>
      <c r="C43" s="10">
        <v>195</v>
      </c>
      <c r="D43" s="7">
        <f t="shared" si="1"/>
        <v>394</v>
      </c>
    </row>
    <row r="44" spans="1:8" hidden="1" x14ac:dyDescent="0.25">
      <c r="A44" s="9">
        <v>5</v>
      </c>
      <c r="B44" s="10">
        <v>183</v>
      </c>
      <c r="C44" s="10">
        <v>174</v>
      </c>
      <c r="D44" s="7">
        <f t="shared" si="1"/>
        <v>357</v>
      </c>
    </row>
    <row r="45" spans="1:8" hidden="1" x14ac:dyDescent="0.25">
      <c r="A45" s="9">
        <v>6</v>
      </c>
      <c r="B45" s="10">
        <v>170</v>
      </c>
      <c r="C45" s="10">
        <v>190</v>
      </c>
      <c r="D45" s="7">
        <f t="shared" si="1"/>
        <v>360</v>
      </c>
    </row>
    <row r="46" spans="1:8" hidden="1" x14ac:dyDescent="0.25">
      <c r="A46" s="9">
        <v>7</v>
      </c>
      <c r="B46" s="10">
        <v>125</v>
      </c>
      <c r="C46" s="10">
        <v>205</v>
      </c>
      <c r="D46" s="7">
        <f t="shared" si="1"/>
        <v>330</v>
      </c>
    </row>
    <row r="47" spans="1:8" hidden="1" x14ac:dyDescent="0.25">
      <c r="A47" s="9">
        <v>8</v>
      </c>
      <c r="B47" s="10">
        <v>185</v>
      </c>
      <c r="C47" s="10">
        <v>172</v>
      </c>
      <c r="D47" s="7">
        <f t="shared" si="1"/>
        <v>357</v>
      </c>
    </row>
    <row r="48" spans="1:8" hidden="1" x14ac:dyDescent="0.25">
      <c r="A48" s="9">
        <v>9</v>
      </c>
      <c r="B48" s="10">
        <v>153</v>
      </c>
      <c r="C48" s="10">
        <v>150</v>
      </c>
      <c r="D48" s="7">
        <f t="shared" si="1"/>
        <v>303</v>
      </c>
    </row>
    <row r="49" spans="1:9" hidden="1" x14ac:dyDescent="0.25">
      <c r="A49" s="9">
        <v>10</v>
      </c>
      <c r="B49" s="10">
        <v>164</v>
      </c>
      <c r="C49" s="10">
        <v>141</v>
      </c>
      <c r="D49" s="7">
        <f t="shared" si="1"/>
        <v>305</v>
      </c>
    </row>
    <row r="50" spans="1:9" hidden="1" x14ac:dyDescent="0.25">
      <c r="A50" s="9">
        <v>11</v>
      </c>
      <c r="B50" s="10">
        <v>162</v>
      </c>
      <c r="C50" s="10">
        <v>156</v>
      </c>
      <c r="D50" s="7">
        <f t="shared" si="1"/>
        <v>318</v>
      </c>
    </row>
    <row r="51" spans="1:9" hidden="1" x14ac:dyDescent="0.25">
      <c r="A51" s="9">
        <v>12</v>
      </c>
      <c r="B51" s="10">
        <v>182</v>
      </c>
      <c r="C51" s="10">
        <v>154</v>
      </c>
      <c r="D51" s="7">
        <f t="shared" si="1"/>
        <v>336</v>
      </c>
    </row>
    <row r="52" spans="1:9" hidden="1" x14ac:dyDescent="0.25">
      <c r="A52" s="9">
        <v>13</v>
      </c>
      <c r="B52" s="10">
        <v>191</v>
      </c>
      <c r="C52" s="10">
        <v>193</v>
      </c>
      <c r="D52" s="7">
        <f t="shared" si="1"/>
        <v>384</v>
      </c>
    </row>
    <row r="53" spans="1:9" hidden="1" x14ac:dyDescent="0.25">
      <c r="A53" s="9">
        <v>14</v>
      </c>
      <c r="B53" s="23">
        <v>182</v>
      </c>
      <c r="C53" s="23">
        <v>163</v>
      </c>
      <c r="D53" s="24">
        <f t="shared" si="1"/>
        <v>345</v>
      </c>
    </row>
    <row r="54" spans="1:9" hidden="1" x14ac:dyDescent="0.25">
      <c r="A54" s="13" t="s">
        <v>20</v>
      </c>
      <c r="B54" s="23">
        <v>987</v>
      </c>
      <c r="C54" s="23">
        <v>950</v>
      </c>
      <c r="D54" s="24">
        <f t="shared" si="1"/>
        <v>1937</v>
      </c>
    </row>
    <row r="55" spans="1:9" hidden="1" x14ac:dyDescent="0.25">
      <c r="A55" s="13" t="s">
        <v>21</v>
      </c>
      <c r="B55" s="23">
        <v>860</v>
      </c>
      <c r="C55" s="23">
        <v>1112</v>
      </c>
      <c r="D55" s="24">
        <f t="shared" si="1"/>
        <v>1972</v>
      </c>
    </row>
    <row r="56" spans="1:9" hidden="1" x14ac:dyDescent="0.25">
      <c r="A56" s="9" t="s">
        <v>5</v>
      </c>
      <c r="B56" s="25">
        <v>742</v>
      </c>
      <c r="C56" s="23">
        <v>1038</v>
      </c>
      <c r="D56" s="24">
        <f t="shared" si="1"/>
        <v>1780</v>
      </c>
    </row>
    <row r="57" spans="1:9" hidden="1" x14ac:dyDescent="0.25">
      <c r="A57" s="9" t="s">
        <v>6</v>
      </c>
      <c r="B57" s="23">
        <v>686</v>
      </c>
      <c r="C57" s="23">
        <v>944</v>
      </c>
      <c r="D57" s="24">
        <f t="shared" si="1"/>
        <v>1630</v>
      </c>
    </row>
    <row r="58" spans="1:9" hidden="1" x14ac:dyDescent="0.25">
      <c r="A58" s="9" t="s">
        <v>16</v>
      </c>
      <c r="B58" s="23">
        <v>596</v>
      </c>
      <c r="C58" s="23">
        <v>895</v>
      </c>
      <c r="D58" s="24">
        <f t="shared" si="1"/>
        <v>1491</v>
      </c>
    </row>
    <row r="59" spans="1:9" hidden="1" x14ac:dyDescent="0.25">
      <c r="A59" s="9" t="s">
        <v>7</v>
      </c>
      <c r="B59" s="23">
        <v>640</v>
      </c>
      <c r="C59" s="23">
        <v>951</v>
      </c>
      <c r="D59" s="24">
        <f t="shared" si="1"/>
        <v>1591</v>
      </c>
    </row>
    <row r="60" spans="1:9" hidden="1" x14ac:dyDescent="0.25">
      <c r="A60" s="9" t="s">
        <v>8</v>
      </c>
      <c r="B60" s="23">
        <v>716</v>
      </c>
      <c r="C60" s="23">
        <v>937</v>
      </c>
      <c r="D60" s="24">
        <f t="shared" si="1"/>
        <v>1653</v>
      </c>
    </row>
    <row r="61" spans="1:9" hidden="1" x14ac:dyDescent="0.25">
      <c r="A61" s="9" t="s">
        <v>9</v>
      </c>
      <c r="B61" s="23">
        <v>844</v>
      </c>
      <c r="C61" s="23">
        <v>1106</v>
      </c>
      <c r="D61" s="24">
        <f t="shared" si="1"/>
        <v>1950</v>
      </c>
    </row>
    <row r="62" spans="1:9" hidden="1" x14ac:dyDescent="0.25">
      <c r="A62" s="9" t="s">
        <v>10</v>
      </c>
      <c r="B62" s="23">
        <v>665</v>
      </c>
      <c r="C62" s="23">
        <v>1025</v>
      </c>
      <c r="D62" s="24">
        <f t="shared" si="1"/>
        <v>1690</v>
      </c>
      <c r="G62" s="27">
        <v>288</v>
      </c>
      <c r="H62" s="28">
        <f>+G62*43/100</f>
        <v>123.84</v>
      </c>
      <c r="I62" s="27">
        <v>124</v>
      </c>
    </row>
    <row r="63" spans="1:9" hidden="1" x14ac:dyDescent="0.25">
      <c r="A63" s="9" t="s">
        <v>11</v>
      </c>
      <c r="B63" s="23">
        <v>664</v>
      </c>
      <c r="C63" s="23">
        <v>855</v>
      </c>
      <c r="D63" s="24">
        <f t="shared" si="1"/>
        <v>1519</v>
      </c>
      <c r="G63" s="27"/>
      <c r="H63" s="28">
        <f>+G62*57/100</f>
        <v>164.16</v>
      </c>
      <c r="I63" s="27">
        <v>164</v>
      </c>
    </row>
    <row r="64" spans="1:9" hidden="1" x14ac:dyDescent="0.25">
      <c r="A64" s="9" t="s">
        <v>12</v>
      </c>
      <c r="B64" s="23">
        <v>560</v>
      </c>
      <c r="C64" s="23">
        <v>831</v>
      </c>
      <c r="D64" s="24">
        <f t="shared" si="1"/>
        <v>1391</v>
      </c>
      <c r="G64" s="27"/>
      <c r="H64" s="27"/>
      <c r="I64" s="27">
        <f>+I62+I63</f>
        <v>288</v>
      </c>
    </row>
    <row r="65" spans="1:8" hidden="1" x14ac:dyDescent="0.25">
      <c r="A65" s="9" t="s">
        <v>13</v>
      </c>
      <c r="B65" s="23">
        <v>509</v>
      </c>
      <c r="C65" s="23">
        <v>783</v>
      </c>
      <c r="D65" s="24">
        <f t="shared" si="1"/>
        <v>1292</v>
      </c>
    </row>
    <row r="66" spans="1:8" hidden="1" x14ac:dyDescent="0.25">
      <c r="A66" s="9" t="s">
        <v>14</v>
      </c>
      <c r="B66" s="23">
        <v>405</v>
      </c>
      <c r="C66" s="23">
        <v>661</v>
      </c>
      <c r="D66" s="24">
        <f t="shared" si="1"/>
        <v>1066</v>
      </c>
    </row>
    <row r="67" spans="1:8" hidden="1" x14ac:dyDescent="0.25">
      <c r="A67" s="9" t="s">
        <v>18</v>
      </c>
      <c r="B67" s="23">
        <f>474+124</f>
        <v>598</v>
      </c>
      <c r="C67" s="23">
        <f>1092+164</f>
        <v>1256</v>
      </c>
      <c r="D67" s="24">
        <f t="shared" si="1"/>
        <v>1854</v>
      </c>
    </row>
    <row r="68" spans="1:8" ht="17.399999999999999" hidden="1" x14ac:dyDescent="0.3">
      <c r="A68" s="11" t="s">
        <v>3</v>
      </c>
      <c r="B68" s="20">
        <f>SUM(B39:B67)</f>
        <v>12073</v>
      </c>
      <c r="C68" s="20">
        <f>SUM(C39:C67)</f>
        <v>15925</v>
      </c>
      <c r="D68" s="20">
        <f>SUM(D39:D67)</f>
        <v>27998</v>
      </c>
      <c r="G68" s="26">
        <f>+B68/D68</f>
        <v>0.43120937209800703</v>
      </c>
      <c r="H68" s="26">
        <f>+C68/D68</f>
        <v>0.56879062790199297</v>
      </c>
    </row>
    <row r="69" spans="1:8" hidden="1" x14ac:dyDescent="0.25">
      <c r="A69" s="2"/>
      <c r="B69" s="2"/>
      <c r="C69" s="2"/>
      <c r="D69" s="2"/>
    </row>
    <row r="70" spans="1:8" hidden="1" x14ac:dyDescent="0.25">
      <c r="A70" s="2"/>
      <c r="B70" s="8"/>
      <c r="C70" s="8"/>
      <c r="D70" s="7"/>
    </row>
    <row r="71" spans="1:8" hidden="1" x14ac:dyDescent="0.25">
      <c r="A71" s="2"/>
      <c r="B71" s="8" t="s">
        <v>17</v>
      </c>
      <c r="C71" s="8" t="s">
        <v>17</v>
      </c>
      <c r="D71" s="8" t="s">
        <v>17</v>
      </c>
    </row>
    <row r="72" spans="1:8" ht="21" hidden="1" x14ac:dyDescent="0.4">
      <c r="A72" s="12" t="s">
        <v>19</v>
      </c>
      <c r="B72" s="21">
        <f>+B33+B68</f>
        <v>23911</v>
      </c>
      <c r="C72" s="21">
        <f>+C33+C68</f>
        <v>30006</v>
      </c>
      <c r="D72" s="21">
        <f>+D33+D68</f>
        <v>53917</v>
      </c>
    </row>
    <row r="73" spans="1:8" hidden="1" x14ac:dyDescent="0.25"/>
    <row r="74" spans="1:8" hidden="1" x14ac:dyDescent="0.25"/>
    <row r="75" spans="1:8" hidden="1" x14ac:dyDescent="0.25"/>
    <row r="76" spans="1:8" hidden="1" x14ac:dyDescent="0.25"/>
    <row r="77" spans="1:8" hidden="1" x14ac:dyDescent="0.25">
      <c r="A77" s="29"/>
      <c r="B77" s="29"/>
      <c r="C77" s="29"/>
      <c r="D77" s="29"/>
    </row>
    <row r="78" spans="1:8" x14ac:dyDescent="0.25">
      <c r="A78" s="29"/>
      <c r="B78" s="29"/>
      <c r="C78" s="29"/>
      <c r="D78" s="29"/>
    </row>
    <row r="79" spans="1:8" ht="22.8" x14ac:dyDescent="0.25">
      <c r="A79" s="79" t="s">
        <v>22</v>
      </c>
      <c r="B79" s="80"/>
      <c r="C79" s="80"/>
      <c r="D79" s="80"/>
    </row>
    <row r="80" spans="1:8" x14ac:dyDescent="0.25">
      <c r="A80" s="30"/>
      <c r="B80" s="31"/>
      <c r="C80" s="31"/>
      <c r="D80" s="31"/>
    </row>
    <row r="81" spans="1:8" ht="24.75" customHeight="1" thickBot="1" x14ac:dyDescent="0.35">
      <c r="A81" s="85" t="s">
        <v>72</v>
      </c>
      <c r="B81" s="86"/>
      <c r="C81" s="86"/>
      <c r="D81" s="86"/>
    </row>
    <row r="82" spans="1:8" ht="13.8" thickBot="1" x14ac:dyDescent="0.3">
      <c r="A82" s="32"/>
      <c r="B82" s="33" t="s">
        <v>23</v>
      </c>
      <c r="C82" s="81" t="s">
        <v>24</v>
      </c>
      <c r="D82" s="82"/>
    </row>
    <row r="83" spans="1:8" ht="13.8" thickBot="1" x14ac:dyDescent="0.3">
      <c r="A83" s="34" t="s">
        <v>25</v>
      </c>
      <c r="B83" s="35" t="s">
        <v>26</v>
      </c>
      <c r="C83" s="36" t="s">
        <v>4</v>
      </c>
      <c r="D83" s="36" t="s">
        <v>15</v>
      </c>
    </row>
    <row r="84" spans="1:8" ht="13.8" thickBot="1" x14ac:dyDescent="0.3">
      <c r="A84" s="37" t="s">
        <v>27</v>
      </c>
      <c r="B84" s="38">
        <f>+B86+B99+B107</f>
        <v>53917</v>
      </c>
      <c r="C84" s="39">
        <f>+C86+C99+C107</f>
        <v>25919</v>
      </c>
      <c r="D84" s="39">
        <f>+D86+D99+D107</f>
        <v>27998</v>
      </c>
    </row>
    <row r="85" spans="1:8" ht="13.8" thickBot="1" x14ac:dyDescent="0.3">
      <c r="A85" s="30"/>
      <c r="B85" s="30"/>
      <c r="C85" s="40"/>
      <c r="D85" s="40"/>
    </row>
    <row r="86" spans="1:8" ht="13.8" thickBot="1" x14ac:dyDescent="0.3">
      <c r="A86" s="37" t="s">
        <v>28</v>
      </c>
      <c r="B86" s="38">
        <f>+C86+D86</f>
        <v>7063</v>
      </c>
      <c r="C86" s="39">
        <f>SUM(C87:C97)</f>
        <v>3281</v>
      </c>
      <c r="D86" s="39">
        <f>SUM(D87:D97)</f>
        <v>3782</v>
      </c>
      <c r="G86" s="78" t="s">
        <v>65</v>
      </c>
      <c r="H86" s="78"/>
    </row>
    <row r="87" spans="1:8" x14ac:dyDescent="0.25">
      <c r="A87" s="41" t="s">
        <v>29</v>
      </c>
      <c r="B87" s="42">
        <f>+C87+D87</f>
        <v>721</v>
      </c>
      <c r="C87" s="43">
        <f>+C129+C171+G87</f>
        <v>433</v>
      </c>
      <c r="D87" s="43">
        <f>+D129+D171+H87</f>
        <v>288</v>
      </c>
      <c r="G87" s="54">
        <v>427</v>
      </c>
      <c r="H87" s="54">
        <v>285</v>
      </c>
    </row>
    <row r="88" spans="1:8" x14ac:dyDescent="0.25">
      <c r="A88" s="44" t="s">
        <v>30</v>
      </c>
      <c r="B88" s="42">
        <f t="shared" ref="B88:B97" si="2">+C88+D88</f>
        <v>509</v>
      </c>
      <c r="C88" s="43">
        <f t="shared" ref="C88:C97" si="3">+C130+C172</f>
        <v>223</v>
      </c>
      <c r="D88" s="43">
        <f t="shared" ref="D88:D97" si="4">+D130+D172</f>
        <v>286</v>
      </c>
    </row>
    <row r="89" spans="1:8" x14ac:dyDescent="0.25">
      <c r="A89" s="41" t="s">
        <v>31</v>
      </c>
      <c r="B89" s="42">
        <f t="shared" si="2"/>
        <v>683</v>
      </c>
      <c r="C89" s="43">
        <f t="shared" si="3"/>
        <v>308</v>
      </c>
      <c r="D89" s="43">
        <f t="shared" si="4"/>
        <v>375</v>
      </c>
    </row>
    <row r="90" spans="1:8" x14ac:dyDescent="0.25">
      <c r="A90" s="44" t="s">
        <v>32</v>
      </c>
      <c r="B90" s="42">
        <f t="shared" si="2"/>
        <v>678</v>
      </c>
      <c r="C90" s="43">
        <f t="shared" si="3"/>
        <v>305</v>
      </c>
      <c r="D90" s="43">
        <f t="shared" si="4"/>
        <v>373</v>
      </c>
    </row>
    <row r="91" spans="1:8" x14ac:dyDescent="0.25">
      <c r="A91" s="44" t="s">
        <v>33</v>
      </c>
      <c r="B91" s="42">
        <f t="shared" si="2"/>
        <v>670</v>
      </c>
      <c r="C91" s="43">
        <f t="shared" si="3"/>
        <v>311</v>
      </c>
      <c r="D91" s="43">
        <f t="shared" si="4"/>
        <v>359</v>
      </c>
    </row>
    <row r="92" spans="1:8" x14ac:dyDescent="0.25">
      <c r="A92" s="44" t="s">
        <v>34</v>
      </c>
      <c r="B92" s="42">
        <f t="shared" si="2"/>
        <v>701</v>
      </c>
      <c r="C92" s="43">
        <f t="shared" si="3"/>
        <v>307</v>
      </c>
      <c r="D92" s="43">
        <f t="shared" si="4"/>
        <v>394</v>
      </c>
    </row>
    <row r="93" spans="1:8" x14ac:dyDescent="0.25">
      <c r="A93" s="44" t="s">
        <v>35</v>
      </c>
      <c r="B93" s="42">
        <f t="shared" si="2"/>
        <v>633</v>
      </c>
      <c r="C93" s="43">
        <f t="shared" si="3"/>
        <v>276</v>
      </c>
      <c r="D93" s="43">
        <f t="shared" si="4"/>
        <v>357</v>
      </c>
    </row>
    <row r="94" spans="1:8" x14ac:dyDescent="0.25">
      <c r="A94" s="44" t="s">
        <v>36</v>
      </c>
      <c r="B94" s="42">
        <f t="shared" si="2"/>
        <v>672</v>
      </c>
      <c r="C94" s="43">
        <f t="shared" si="3"/>
        <v>312</v>
      </c>
      <c r="D94" s="43">
        <f t="shared" si="4"/>
        <v>360</v>
      </c>
    </row>
    <row r="95" spans="1:8" x14ac:dyDescent="0.25">
      <c r="A95" s="44" t="s">
        <v>37</v>
      </c>
      <c r="B95" s="42">
        <f t="shared" si="2"/>
        <v>595</v>
      </c>
      <c r="C95" s="43">
        <f t="shared" si="3"/>
        <v>265</v>
      </c>
      <c r="D95" s="43">
        <f t="shared" si="4"/>
        <v>330</v>
      </c>
    </row>
    <row r="96" spans="1:8" x14ac:dyDescent="0.25">
      <c r="A96" s="44" t="s">
        <v>38</v>
      </c>
      <c r="B96" s="42">
        <f t="shared" si="2"/>
        <v>626</v>
      </c>
      <c r="C96" s="43">
        <f t="shared" si="3"/>
        <v>269</v>
      </c>
      <c r="D96" s="43">
        <f t="shared" si="4"/>
        <v>357</v>
      </c>
    </row>
    <row r="97" spans="1:7" x14ac:dyDescent="0.25">
      <c r="A97" s="44" t="s">
        <v>39</v>
      </c>
      <c r="B97" s="42">
        <f t="shared" si="2"/>
        <v>575</v>
      </c>
      <c r="C97" s="43">
        <f t="shared" si="3"/>
        <v>272</v>
      </c>
      <c r="D97" s="43">
        <f t="shared" si="4"/>
        <v>303</v>
      </c>
    </row>
    <row r="98" spans="1:7" ht="13.8" thickBot="1" x14ac:dyDescent="0.3">
      <c r="A98" s="46"/>
      <c r="B98" s="30"/>
      <c r="C98" s="40"/>
      <c r="D98" s="40"/>
    </row>
    <row r="99" spans="1:7" ht="13.8" thickBot="1" x14ac:dyDescent="0.3">
      <c r="A99" s="37" t="s">
        <v>40</v>
      </c>
      <c r="B99" s="38">
        <f>+C99+D99</f>
        <v>7135</v>
      </c>
      <c r="C99" s="39">
        <f>SUM(C100:C105)</f>
        <v>3510</v>
      </c>
      <c r="D99" s="39">
        <f>SUM(D100:D105)</f>
        <v>3625</v>
      </c>
    </row>
    <row r="100" spans="1:7" x14ac:dyDescent="0.25">
      <c r="A100" s="41" t="s">
        <v>41</v>
      </c>
      <c r="B100" s="42">
        <f t="shared" ref="B100:B105" si="5">+C100+D100</f>
        <v>605</v>
      </c>
      <c r="C100" s="43">
        <f t="shared" ref="C100:D105" si="6">+C142+C184</f>
        <v>300</v>
      </c>
      <c r="D100" s="43">
        <f t="shared" si="6"/>
        <v>305</v>
      </c>
    </row>
    <row r="101" spans="1:7" x14ac:dyDescent="0.25">
      <c r="A101" s="41" t="s">
        <v>42</v>
      </c>
      <c r="B101" s="42">
        <f t="shared" si="5"/>
        <v>605</v>
      </c>
      <c r="C101" s="43">
        <f t="shared" si="6"/>
        <v>287</v>
      </c>
      <c r="D101" s="43">
        <f t="shared" si="6"/>
        <v>318</v>
      </c>
    </row>
    <row r="102" spans="1:7" x14ac:dyDescent="0.25">
      <c r="A102" s="41" t="s">
        <v>43</v>
      </c>
      <c r="B102" s="42">
        <f t="shared" si="5"/>
        <v>661</v>
      </c>
      <c r="C102" s="43">
        <f t="shared" si="6"/>
        <v>325</v>
      </c>
      <c r="D102" s="43">
        <f t="shared" si="6"/>
        <v>336</v>
      </c>
    </row>
    <row r="103" spans="1:7" x14ac:dyDescent="0.25">
      <c r="A103" s="41" t="s">
        <v>44</v>
      </c>
      <c r="B103" s="42">
        <f t="shared" si="5"/>
        <v>721</v>
      </c>
      <c r="C103" s="43">
        <f t="shared" si="6"/>
        <v>337</v>
      </c>
      <c r="D103" s="43">
        <f t="shared" si="6"/>
        <v>384</v>
      </c>
    </row>
    <row r="104" spans="1:7" x14ac:dyDescent="0.25">
      <c r="A104" s="41" t="s">
        <v>45</v>
      </c>
      <c r="B104" s="42">
        <f t="shared" si="5"/>
        <v>683</v>
      </c>
      <c r="C104" s="43">
        <f t="shared" si="6"/>
        <v>338</v>
      </c>
      <c r="D104" s="43">
        <f t="shared" si="6"/>
        <v>345</v>
      </c>
    </row>
    <row r="105" spans="1:7" x14ac:dyDescent="0.25">
      <c r="A105" s="44" t="s">
        <v>46</v>
      </c>
      <c r="B105" s="42">
        <f t="shared" si="5"/>
        <v>3860</v>
      </c>
      <c r="C105" s="43">
        <f t="shared" si="6"/>
        <v>1923</v>
      </c>
      <c r="D105" s="43">
        <f t="shared" si="6"/>
        <v>1937</v>
      </c>
      <c r="G105" s="1"/>
    </row>
    <row r="106" spans="1:7" ht="13.8" thickBot="1" x14ac:dyDescent="0.3">
      <c r="A106" s="47"/>
      <c r="B106" s="30"/>
      <c r="C106" s="40"/>
      <c r="D106" s="40"/>
      <c r="F106" s="1"/>
      <c r="G106" s="1"/>
    </row>
    <row r="107" spans="1:7" ht="13.8" thickBot="1" x14ac:dyDescent="0.3">
      <c r="A107" s="37" t="s">
        <v>47</v>
      </c>
      <c r="B107" s="38">
        <f>+C107+D107</f>
        <v>39719</v>
      </c>
      <c r="C107" s="39">
        <f>SUM(C108:C120)</f>
        <v>19128</v>
      </c>
      <c r="D107" s="39">
        <f>SUM(D108:D120)</f>
        <v>20591</v>
      </c>
    </row>
    <row r="108" spans="1:7" x14ac:dyDescent="0.25">
      <c r="A108" s="48" t="s">
        <v>21</v>
      </c>
      <c r="B108" s="42">
        <f t="shared" ref="B108:B120" si="7">+C108+D108</f>
        <v>3804</v>
      </c>
      <c r="C108" s="43">
        <f t="shared" ref="C108:D120" si="8">+C150+C192</f>
        <v>1832</v>
      </c>
      <c r="D108" s="43">
        <f t="shared" si="8"/>
        <v>1972</v>
      </c>
    </row>
    <row r="109" spans="1:7" x14ac:dyDescent="0.25">
      <c r="A109" s="48" t="s">
        <v>48</v>
      </c>
      <c r="B109" s="42">
        <f t="shared" si="7"/>
        <v>3293</v>
      </c>
      <c r="C109" s="43">
        <f t="shared" si="8"/>
        <v>1513</v>
      </c>
      <c r="D109" s="43">
        <f t="shared" si="8"/>
        <v>1780</v>
      </c>
    </row>
    <row r="110" spans="1:7" x14ac:dyDescent="0.25">
      <c r="A110" s="48" t="s">
        <v>49</v>
      </c>
      <c r="B110" s="42">
        <f t="shared" si="7"/>
        <v>3031</v>
      </c>
      <c r="C110" s="43">
        <f t="shared" si="8"/>
        <v>1401</v>
      </c>
      <c r="D110" s="43">
        <f t="shared" si="8"/>
        <v>1630</v>
      </c>
    </row>
    <row r="111" spans="1:7" x14ac:dyDescent="0.25">
      <c r="A111" s="48" t="s">
        <v>50</v>
      </c>
      <c r="B111" s="42">
        <f t="shared" si="7"/>
        <v>2807</v>
      </c>
      <c r="C111" s="43">
        <f t="shared" si="8"/>
        <v>1316</v>
      </c>
      <c r="D111" s="43">
        <f t="shared" si="8"/>
        <v>1491</v>
      </c>
      <c r="G111" s="1"/>
    </row>
    <row r="112" spans="1:7" x14ac:dyDescent="0.25">
      <c r="A112" s="48" t="s">
        <v>51</v>
      </c>
      <c r="B112" s="42">
        <f t="shared" si="7"/>
        <v>3102</v>
      </c>
      <c r="C112" s="43">
        <f t="shared" si="8"/>
        <v>1511</v>
      </c>
      <c r="D112" s="43">
        <f t="shared" si="8"/>
        <v>1591</v>
      </c>
    </row>
    <row r="113" spans="1:4" x14ac:dyDescent="0.25">
      <c r="A113" s="48" t="s">
        <v>52</v>
      </c>
      <c r="B113" s="42">
        <f t="shared" si="7"/>
        <v>3177</v>
      </c>
      <c r="C113" s="43">
        <f t="shared" si="8"/>
        <v>1524</v>
      </c>
      <c r="D113" s="43">
        <f t="shared" si="8"/>
        <v>1653</v>
      </c>
    </row>
    <row r="114" spans="1:4" x14ac:dyDescent="0.25">
      <c r="A114" s="48" t="s">
        <v>53</v>
      </c>
      <c r="B114" s="42">
        <f t="shared" si="7"/>
        <v>3652</v>
      </c>
      <c r="C114" s="43">
        <f t="shared" si="8"/>
        <v>1702</v>
      </c>
      <c r="D114" s="43">
        <f t="shared" si="8"/>
        <v>1950</v>
      </c>
    </row>
    <row r="115" spans="1:4" x14ac:dyDescent="0.25">
      <c r="A115" s="48" t="s">
        <v>54</v>
      </c>
      <c r="B115" s="42">
        <f t="shared" si="7"/>
        <v>3172</v>
      </c>
      <c r="C115" s="43">
        <f t="shared" si="8"/>
        <v>1482</v>
      </c>
      <c r="D115" s="43">
        <f t="shared" si="8"/>
        <v>1690</v>
      </c>
    </row>
    <row r="116" spans="1:4" x14ac:dyDescent="0.25">
      <c r="A116" s="48" t="s">
        <v>55</v>
      </c>
      <c r="B116" s="42">
        <f t="shared" si="7"/>
        <v>2924</v>
      </c>
      <c r="C116" s="43">
        <f t="shared" si="8"/>
        <v>1405</v>
      </c>
      <c r="D116" s="43">
        <f t="shared" si="8"/>
        <v>1519</v>
      </c>
    </row>
    <row r="117" spans="1:4" x14ac:dyDescent="0.25">
      <c r="A117" s="49" t="s">
        <v>56</v>
      </c>
      <c r="B117" s="42">
        <f t="shared" si="7"/>
        <v>2823</v>
      </c>
      <c r="C117" s="43">
        <f t="shared" si="8"/>
        <v>1432</v>
      </c>
      <c r="D117" s="43">
        <f t="shared" si="8"/>
        <v>1391</v>
      </c>
    </row>
    <row r="118" spans="1:4" x14ac:dyDescent="0.25">
      <c r="A118" s="48" t="s">
        <v>57</v>
      </c>
      <c r="B118" s="42">
        <f t="shared" si="7"/>
        <v>2507</v>
      </c>
      <c r="C118" s="43">
        <f t="shared" si="8"/>
        <v>1215</v>
      </c>
      <c r="D118" s="43">
        <f t="shared" si="8"/>
        <v>1292</v>
      </c>
    </row>
    <row r="119" spans="1:4" x14ac:dyDescent="0.25">
      <c r="A119" s="48" t="s">
        <v>58</v>
      </c>
      <c r="B119" s="42">
        <f t="shared" si="7"/>
        <v>2034</v>
      </c>
      <c r="C119" s="43">
        <f t="shared" si="8"/>
        <v>968</v>
      </c>
      <c r="D119" s="43">
        <f t="shared" si="8"/>
        <v>1066</v>
      </c>
    </row>
    <row r="120" spans="1:4" x14ac:dyDescent="0.25">
      <c r="A120" s="48" t="s">
        <v>59</v>
      </c>
      <c r="B120" s="42">
        <f t="shared" si="7"/>
        <v>3393</v>
      </c>
      <c r="C120" s="43">
        <f t="shared" si="8"/>
        <v>1827</v>
      </c>
      <c r="D120" s="43">
        <f t="shared" si="8"/>
        <v>1566</v>
      </c>
    </row>
    <row r="121" spans="1:4" x14ac:dyDescent="0.25">
      <c r="A121" s="50"/>
      <c r="B121" s="51"/>
      <c r="C121" s="51"/>
      <c r="D121" s="51"/>
    </row>
    <row r="122" spans="1:4" x14ac:dyDescent="0.25">
      <c r="A122" s="30"/>
      <c r="B122" s="30"/>
      <c r="C122" s="40"/>
      <c r="D122" s="40"/>
    </row>
    <row r="123" spans="1:4" ht="24.75" customHeight="1" x14ac:dyDescent="0.3">
      <c r="A123" s="83" t="s">
        <v>60</v>
      </c>
      <c r="B123" s="84"/>
      <c r="C123" s="84"/>
      <c r="D123" s="84"/>
    </row>
    <row r="124" spans="1:4" ht="13.8" thickBot="1" x14ac:dyDescent="0.3">
      <c r="A124" s="52"/>
      <c r="B124" s="30"/>
      <c r="C124" s="40"/>
      <c r="D124" s="40"/>
    </row>
    <row r="125" spans="1:4" ht="13.8" thickBot="1" x14ac:dyDescent="0.3">
      <c r="A125" s="37" t="s">
        <v>61</v>
      </c>
      <c r="B125" s="38">
        <f>+C125+D125</f>
        <v>29610</v>
      </c>
      <c r="C125" s="39">
        <f>+C128+C141+C149</f>
        <v>13849</v>
      </c>
      <c r="D125" s="39">
        <f>+D128+D141+D149</f>
        <v>15761</v>
      </c>
    </row>
    <row r="126" spans="1:4" x14ac:dyDescent="0.25">
      <c r="A126" s="53"/>
      <c r="B126" s="30"/>
      <c r="C126" s="40"/>
      <c r="D126" s="40"/>
    </row>
    <row r="127" spans="1:4" ht="13.8" thickBot="1" x14ac:dyDescent="0.3">
      <c r="A127" s="30"/>
      <c r="B127" s="30"/>
      <c r="C127" s="40"/>
      <c r="D127" s="40"/>
    </row>
    <row r="128" spans="1:4" ht="13.8" thickBot="1" x14ac:dyDescent="0.3">
      <c r="A128" s="37" t="s">
        <v>28</v>
      </c>
      <c r="B128" s="38">
        <f>+C128+D128</f>
        <v>3127</v>
      </c>
      <c r="C128" s="39">
        <f>SUM(C129:C139)</f>
        <v>1353</v>
      </c>
      <c r="D128" s="39">
        <f>SUM(D129:D139)</f>
        <v>1774</v>
      </c>
    </row>
    <row r="129" spans="1:6" x14ac:dyDescent="0.25">
      <c r="A129" s="44" t="s">
        <v>62</v>
      </c>
      <c r="B129" s="42">
        <f>+C129+D129</f>
        <v>2</v>
      </c>
      <c r="C129" s="43">
        <v>2</v>
      </c>
      <c r="D129" s="43">
        <v>0</v>
      </c>
    </row>
    <row r="130" spans="1:6" x14ac:dyDescent="0.25">
      <c r="A130" s="44" t="s">
        <v>30</v>
      </c>
      <c r="B130" s="42">
        <f t="shared" ref="B130:B139" si="9">+C130+D130</f>
        <v>248</v>
      </c>
      <c r="C130" s="45">
        <v>112</v>
      </c>
      <c r="D130" s="45">
        <v>136</v>
      </c>
    </row>
    <row r="131" spans="1:6" x14ac:dyDescent="0.25">
      <c r="A131" s="41" t="s">
        <v>31</v>
      </c>
      <c r="B131" s="42">
        <f t="shared" si="9"/>
        <v>327</v>
      </c>
      <c r="C131" s="45">
        <v>145</v>
      </c>
      <c r="D131" s="45">
        <v>182</v>
      </c>
    </row>
    <row r="132" spans="1:6" x14ac:dyDescent="0.25">
      <c r="A132" s="44" t="s">
        <v>32</v>
      </c>
      <c r="B132" s="42">
        <f t="shared" si="9"/>
        <v>323</v>
      </c>
      <c r="C132" s="45">
        <v>135</v>
      </c>
      <c r="D132" s="45">
        <v>188</v>
      </c>
    </row>
    <row r="133" spans="1:6" x14ac:dyDescent="0.25">
      <c r="A133" s="44" t="s">
        <v>33</v>
      </c>
      <c r="B133" s="42">
        <f t="shared" si="9"/>
        <v>319</v>
      </c>
      <c r="C133" s="45">
        <v>137</v>
      </c>
      <c r="D133" s="45">
        <v>182</v>
      </c>
    </row>
    <row r="134" spans="1:6" x14ac:dyDescent="0.25">
      <c r="A134" s="44" t="s">
        <v>34</v>
      </c>
      <c r="B134" s="42">
        <f t="shared" si="9"/>
        <v>340</v>
      </c>
      <c r="C134" s="45">
        <v>145</v>
      </c>
      <c r="D134" s="45">
        <v>195</v>
      </c>
    </row>
    <row r="135" spans="1:6" x14ac:dyDescent="0.25">
      <c r="A135" s="44" t="s">
        <v>35</v>
      </c>
      <c r="B135" s="42">
        <f t="shared" si="9"/>
        <v>314</v>
      </c>
      <c r="C135" s="45">
        <v>140</v>
      </c>
      <c r="D135" s="45">
        <v>174</v>
      </c>
    </row>
    <row r="136" spans="1:6" x14ac:dyDescent="0.25">
      <c r="A136" s="44" t="s">
        <v>36</v>
      </c>
      <c r="B136" s="42">
        <f t="shared" si="9"/>
        <v>345</v>
      </c>
      <c r="C136" s="45">
        <v>155</v>
      </c>
      <c r="D136" s="45">
        <v>190</v>
      </c>
    </row>
    <row r="137" spans="1:6" x14ac:dyDescent="0.25">
      <c r="A137" s="44" t="s">
        <v>37</v>
      </c>
      <c r="B137" s="42">
        <f t="shared" si="9"/>
        <v>337</v>
      </c>
      <c r="C137" s="45">
        <v>132</v>
      </c>
      <c r="D137" s="45">
        <v>205</v>
      </c>
    </row>
    <row r="138" spans="1:6" x14ac:dyDescent="0.25">
      <c r="A138" s="44" t="s">
        <v>38</v>
      </c>
      <c r="B138" s="42">
        <f t="shared" si="9"/>
        <v>302</v>
      </c>
      <c r="C138" s="45">
        <v>130</v>
      </c>
      <c r="D138" s="45">
        <v>172</v>
      </c>
    </row>
    <row r="139" spans="1:6" x14ac:dyDescent="0.25">
      <c r="A139" s="44" t="s">
        <v>39</v>
      </c>
      <c r="B139" s="42">
        <f t="shared" si="9"/>
        <v>270</v>
      </c>
      <c r="C139" s="45">
        <v>120</v>
      </c>
      <c r="D139" s="45">
        <v>150</v>
      </c>
    </row>
    <row r="140" spans="1:6" ht="13.8" thickBot="1" x14ac:dyDescent="0.3">
      <c r="A140" s="46"/>
      <c r="B140" s="30"/>
      <c r="C140" s="40"/>
      <c r="D140" s="40"/>
    </row>
    <row r="141" spans="1:6" ht="13.8" thickBot="1" x14ac:dyDescent="0.3">
      <c r="A141" s="37" t="s">
        <v>40</v>
      </c>
      <c r="B141" s="38">
        <f>+C141+D141</f>
        <v>3525</v>
      </c>
      <c r="C141" s="39">
        <f>SUM(C142:C147)</f>
        <v>1768</v>
      </c>
      <c r="D141" s="39">
        <f>SUM(D142:D147)</f>
        <v>1757</v>
      </c>
      <c r="F141" s="1"/>
    </row>
    <row r="142" spans="1:6" x14ac:dyDescent="0.25">
      <c r="A142" s="41" t="s">
        <v>41</v>
      </c>
      <c r="B142" s="42">
        <f t="shared" ref="B142:B147" si="10">+C142+D142</f>
        <v>289</v>
      </c>
      <c r="C142" s="43">
        <v>148</v>
      </c>
      <c r="D142" s="43">
        <v>141</v>
      </c>
    </row>
    <row r="143" spans="1:6" x14ac:dyDescent="0.25">
      <c r="A143" s="41" t="s">
        <v>42</v>
      </c>
      <c r="B143" s="42">
        <f t="shared" si="10"/>
        <v>302</v>
      </c>
      <c r="C143" s="45">
        <v>146</v>
      </c>
      <c r="D143" s="45">
        <v>156</v>
      </c>
    </row>
    <row r="144" spans="1:6" x14ac:dyDescent="0.25">
      <c r="A144" s="41" t="s">
        <v>43</v>
      </c>
      <c r="B144" s="42">
        <f t="shared" si="10"/>
        <v>327</v>
      </c>
      <c r="C144" s="45">
        <v>173</v>
      </c>
      <c r="D144" s="45">
        <v>154</v>
      </c>
    </row>
    <row r="145" spans="1:4" x14ac:dyDescent="0.25">
      <c r="A145" s="41" t="s">
        <v>44</v>
      </c>
      <c r="B145" s="42">
        <f t="shared" si="10"/>
        <v>370</v>
      </c>
      <c r="C145" s="45">
        <v>177</v>
      </c>
      <c r="D145" s="45">
        <v>193</v>
      </c>
    </row>
    <row r="146" spans="1:4" x14ac:dyDescent="0.25">
      <c r="A146" s="41" t="s">
        <v>45</v>
      </c>
      <c r="B146" s="42">
        <f t="shared" si="10"/>
        <v>325</v>
      </c>
      <c r="C146" s="45">
        <v>162</v>
      </c>
      <c r="D146" s="45">
        <v>163</v>
      </c>
    </row>
    <row r="147" spans="1:4" x14ac:dyDescent="0.25">
      <c r="A147" s="44" t="s">
        <v>46</v>
      </c>
      <c r="B147" s="42">
        <f t="shared" si="10"/>
        <v>1912</v>
      </c>
      <c r="C147" s="45">
        <v>962</v>
      </c>
      <c r="D147" s="45">
        <v>950</v>
      </c>
    </row>
    <row r="148" spans="1:4" ht="13.8" thickBot="1" x14ac:dyDescent="0.3">
      <c r="A148" s="47"/>
      <c r="B148" s="30"/>
      <c r="C148" s="40"/>
      <c r="D148" s="40"/>
    </row>
    <row r="149" spans="1:4" ht="13.8" thickBot="1" x14ac:dyDescent="0.3">
      <c r="A149" s="37" t="s">
        <v>47</v>
      </c>
      <c r="B149" s="38">
        <f>+C149+D149</f>
        <v>22958</v>
      </c>
      <c r="C149" s="39">
        <f>SUM(C150:C162)</f>
        <v>10728</v>
      </c>
      <c r="D149" s="39">
        <f>SUM(D150:D162)</f>
        <v>12230</v>
      </c>
    </row>
    <row r="150" spans="1:4" x14ac:dyDescent="0.25">
      <c r="A150" s="48" t="s">
        <v>21</v>
      </c>
      <c r="B150" s="42">
        <f t="shared" ref="B150:B162" si="11">+C150+D150</f>
        <v>2051</v>
      </c>
      <c r="C150" s="43">
        <v>939</v>
      </c>
      <c r="D150" s="43">
        <v>1112</v>
      </c>
    </row>
    <row r="151" spans="1:4" x14ac:dyDescent="0.25">
      <c r="A151" s="48" t="s">
        <v>48</v>
      </c>
      <c r="B151" s="42">
        <f t="shared" si="11"/>
        <v>1894</v>
      </c>
      <c r="C151" s="45">
        <v>856</v>
      </c>
      <c r="D151" s="45">
        <v>1038</v>
      </c>
    </row>
    <row r="152" spans="1:4" x14ac:dyDescent="0.25">
      <c r="A152" s="48" t="s">
        <v>49</v>
      </c>
      <c r="B152" s="42">
        <f t="shared" si="11"/>
        <v>1758</v>
      </c>
      <c r="C152" s="45">
        <v>814</v>
      </c>
      <c r="D152" s="45">
        <v>944</v>
      </c>
    </row>
    <row r="153" spans="1:4" x14ac:dyDescent="0.25">
      <c r="A153" s="48" t="s">
        <v>50</v>
      </c>
      <c r="B153" s="42">
        <f t="shared" si="11"/>
        <v>1658</v>
      </c>
      <c r="C153" s="45">
        <v>763</v>
      </c>
      <c r="D153" s="45">
        <v>895</v>
      </c>
    </row>
    <row r="154" spans="1:4" x14ac:dyDescent="0.25">
      <c r="A154" s="48" t="s">
        <v>51</v>
      </c>
      <c r="B154" s="42">
        <f t="shared" si="11"/>
        <v>1826</v>
      </c>
      <c r="C154" s="45">
        <v>875</v>
      </c>
      <c r="D154" s="45">
        <v>951</v>
      </c>
    </row>
    <row r="155" spans="1:4" x14ac:dyDescent="0.25">
      <c r="A155" s="48" t="s">
        <v>52</v>
      </c>
      <c r="B155" s="42">
        <f t="shared" si="11"/>
        <v>1818</v>
      </c>
      <c r="C155" s="45">
        <v>881</v>
      </c>
      <c r="D155" s="45">
        <v>937</v>
      </c>
    </row>
    <row r="156" spans="1:4" x14ac:dyDescent="0.25">
      <c r="A156" s="48" t="s">
        <v>53</v>
      </c>
      <c r="B156" s="42">
        <f t="shared" si="11"/>
        <v>2059</v>
      </c>
      <c r="C156" s="45">
        <v>953</v>
      </c>
      <c r="D156" s="45">
        <v>1106</v>
      </c>
    </row>
    <row r="157" spans="1:4" x14ac:dyDescent="0.25">
      <c r="A157" s="48" t="s">
        <v>54</v>
      </c>
      <c r="B157" s="42">
        <f t="shared" si="11"/>
        <v>1851</v>
      </c>
      <c r="C157" s="45">
        <v>826</v>
      </c>
      <c r="D157" s="45">
        <v>1025</v>
      </c>
    </row>
    <row r="158" spans="1:4" x14ac:dyDescent="0.25">
      <c r="A158" s="48" t="s">
        <v>55</v>
      </c>
      <c r="B158" s="42">
        <f t="shared" si="11"/>
        <v>1654</v>
      </c>
      <c r="C158" s="45">
        <v>799</v>
      </c>
      <c r="D158" s="45">
        <v>855</v>
      </c>
    </row>
    <row r="159" spans="1:4" x14ac:dyDescent="0.25">
      <c r="A159" s="49" t="s">
        <v>56</v>
      </c>
      <c r="B159" s="42">
        <f t="shared" si="11"/>
        <v>1586</v>
      </c>
      <c r="C159" s="45">
        <v>755</v>
      </c>
      <c r="D159" s="45">
        <v>831</v>
      </c>
    </row>
    <row r="160" spans="1:4" x14ac:dyDescent="0.25">
      <c r="A160" s="48" t="s">
        <v>57</v>
      </c>
      <c r="B160" s="42">
        <f t="shared" si="11"/>
        <v>1463</v>
      </c>
      <c r="C160" s="45">
        <v>680</v>
      </c>
      <c r="D160" s="45">
        <v>783</v>
      </c>
    </row>
    <row r="161" spans="1:4" x14ac:dyDescent="0.25">
      <c r="A161" s="48" t="s">
        <v>58</v>
      </c>
      <c r="B161" s="42">
        <f t="shared" si="11"/>
        <v>1216</v>
      </c>
      <c r="C161" s="45">
        <v>555</v>
      </c>
      <c r="D161" s="45">
        <v>661</v>
      </c>
    </row>
    <row r="162" spans="1:4" x14ac:dyDescent="0.25">
      <c r="A162" s="48" t="s">
        <v>59</v>
      </c>
      <c r="B162" s="42">
        <f t="shared" si="11"/>
        <v>2124</v>
      </c>
      <c r="C162" s="45">
        <v>1032</v>
      </c>
      <c r="D162" s="45">
        <v>1092</v>
      </c>
    </row>
    <row r="165" spans="1:4" ht="24.75" customHeight="1" x14ac:dyDescent="0.3">
      <c r="A165" s="83" t="s">
        <v>63</v>
      </c>
      <c r="B165" s="84"/>
      <c r="C165" s="84"/>
      <c r="D165" s="84"/>
    </row>
    <row r="166" spans="1:4" ht="13.8" thickBot="1" x14ac:dyDescent="0.3">
      <c r="A166" s="52"/>
      <c r="B166" s="30"/>
      <c r="C166" s="40"/>
      <c r="D166" s="40"/>
    </row>
    <row r="167" spans="1:4" ht="13.8" thickBot="1" x14ac:dyDescent="0.3">
      <c r="A167" s="37" t="s">
        <v>64</v>
      </c>
      <c r="B167" s="38">
        <f>+C167+D167</f>
        <v>23595</v>
      </c>
      <c r="C167" s="39">
        <f>+C170+C183+C191</f>
        <v>11643</v>
      </c>
      <c r="D167" s="39">
        <f>+D170+D183+D191</f>
        <v>11952</v>
      </c>
    </row>
    <row r="168" spans="1:4" x14ac:dyDescent="0.25">
      <c r="A168" s="53"/>
      <c r="B168" s="30"/>
      <c r="C168" s="40"/>
      <c r="D168" s="40"/>
    </row>
    <row r="169" spans="1:4" ht="13.8" thickBot="1" x14ac:dyDescent="0.3">
      <c r="A169" s="30"/>
      <c r="B169" s="30"/>
      <c r="C169" s="40"/>
      <c r="D169" s="40"/>
    </row>
    <row r="170" spans="1:4" ht="13.8" thickBot="1" x14ac:dyDescent="0.3">
      <c r="A170" s="37" t="s">
        <v>28</v>
      </c>
      <c r="B170" s="38">
        <f>+C170+D170</f>
        <v>3224</v>
      </c>
      <c r="C170" s="39">
        <f>SUM(C171:C181)</f>
        <v>1501</v>
      </c>
      <c r="D170" s="39">
        <f>SUM(D171:D181)</f>
        <v>1723</v>
      </c>
    </row>
    <row r="171" spans="1:4" x14ac:dyDescent="0.25">
      <c r="A171" s="44" t="s">
        <v>62</v>
      </c>
      <c r="B171" s="42">
        <f>+C171+D171</f>
        <v>7</v>
      </c>
      <c r="C171" s="43">
        <v>4</v>
      </c>
      <c r="D171" s="43">
        <v>3</v>
      </c>
    </row>
    <row r="172" spans="1:4" x14ac:dyDescent="0.25">
      <c r="A172" s="44" t="s">
        <v>30</v>
      </c>
      <c r="B172" s="42">
        <f t="shared" ref="B172:B181" si="12">+C172+D172</f>
        <v>261</v>
      </c>
      <c r="C172" s="45">
        <v>111</v>
      </c>
      <c r="D172" s="45">
        <v>150</v>
      </c>
    </row>
    <row r="173" spans="1:4" x14ac:dyDescent="0.25">
      <c r="A173" s="41" t="s">
        <v>31</v>
      </c>
      <c r="B173" s="42">
        <f t="shared" si="12"/>
        <v>356</v>
      </c>
      <c r="C173" s="45">
        <v>163</v>
      </c>
      <c r="D173" s="45">
        <v>193</v>
      </c>
    </row>
    <row r="174" spans="1:4" x14ac:dyDescent="0.25">
      <c r="A174" s="44" t="s">
        <v>32</v>
      </c>
      <c r="B174" s="42">
        <f t="shared" si="12"/>
        <v>355</v>
      </c>
      <c r="C174" s="45">
        <v>170</v>
      </c>
      <c r="D174" s="45">
        <v>185</v>
      </c>
    </row>
    <row r="175" spans="1:4" x14ac:dyDescent="0.25">
      <c r="A175" s="44" t="s">
        <v>33</v>
      </c>
      <c r="B175" s="42">
        <f t="shared" si="12"/>
        <v>351</v>
      </c>
      <c r="C175" s="45">
        <v>174</v>
      </c>
      <c r="D175" s="45">
        <v>177</v>
      </c>
    </row>
    <row r="176" spans="1:4" x14ac:dyDescent="0.25">
      <c r="A176" s="44" t="s">
        <v>34</v>
      </c>
      <c r="B176" s="42">
        <f t="shared" si="12"/>
        <v>361</v>
      </c>
      <c r="C176" s="45">
        <v>162</v>
      </c>
      <c r="D176" s="45">
        <v>199</v>
      </c>
    </row>
    <row r="177" spans="1:7" x14ac:dyDescent="0.25">
      <c r="A177" s="44" t="s">
        <v>35</v>
      </c>
      <c r="B177" s="42">
        <f t="shared" si="12"/>
        <v>319</v>
      </c>
      <c r="C177" s="45">
        <v>136</v>
      </c>
      <c r="D177" s="45">
        <v>183</v>
      </c>
    </row>
    <row r="178" spans="1:7" x14ac:dyDescent="0.25">
      <c r="A178" s="44" t="s">
        <v>36</v>
      </c>
      <c r="B178" s="42">
        <f t="shared" si="12"/>
        <v>327</v>
      </c>
      <c r="C178" s="45">
        <v>157</v>
      </c>
      <c r="D178" s="45">
        <v>170</v>
      </c>
    </row>
    <row r="179" spans="1:7" x14ac:dyDescent="0.25">
      <c r="A179" s="44" t="s">
        <v>37</v>
      </c>
      <c r="B179" s="42">
        <f t="shared" si="12"/>
        <v>258</v>
      </c>
      <c r="C179" s="45">
        <v>133</v>
      </c>
      <c r="D179" s="45">
        <v>125</v>
      </c>
    </row>
    <row r="180" spans="1:7" x14ac:dyDescent="0.25">
      <c r="A180" s="44" t="s">
        <v>38</v>
      </c>
      <c r="B180" s="42">
        <f t="shared" si="12"/>
        <v>324</v>
      </c>
      <c r="C180" s="45">
        <v>139</v>
      </c>
      <c r="D180" s="45">
        <v>185</v>
      </c>
    </row>
    <row r="181" spans="1:7" x14ac:dyDescent="0.25">
      <c r="A181" s="44" t="s">
        <v>39</v>
      </c>
      <c r="B181" s="42">
        <f t="shared" si="12"/>
        <v>305</v>
      </c>
      <c r="C181" s="45">
        <v>152</v>
      </c>
      <c r="D181" s="45">
        <v>153</v>
      </c>
    </row>
    <row r="182" spans="1:7" ht="13.8" thickBot="1" x14ac:dyDescent="0.3">
      <c r="A182" s="46"/>
      <c r="B182" s="30"/>
      <c r="C182" s="40"/>
      <c r="D182" s="40"/>
    </row>
    <row r="183" spans="1:7" ht="13.8" thickBot="1" x14ac:dyDescent="0.3">
      <c r="A183" s="37" t="s">
        <v>40</v>
      </c>
      <c r="B183" s="38">
        <f>+C183+D183</f>
        <v>3610</v>
      </c>
      <c r="C183" s="39">
        <f>SUM(C184:C189)</f>
        <v>1742</v>
      </c>
      <c r="D183" s="39">
        <f>SUM(D184:D189)</f>
        <v>1868</v>
      </c>
    </row>
    <row r="184" spans="1:7" x14ac:dyDescent="0.25">
      <c r="A184" s="41" t="s">
        <v>41</v>
      </c>
      <c r="B184" s="42">
        <f t="shared" ref="B184:B189" si="13">+C184+D184</f>
        <v>316</v>
      </c>
      <c r="C184" s="43">
        <v>152</v>
      </c>
      <c r="D184" s="43">
        <v>164</v>
      </c>
    </row>
    <row r="185" spans="1:7" x14ac:dyDescent="0.25">
      <c r="A185" s="41" t="s">
        <v>42</v>
      </c>
      <c r="B185" s="42">
        <f t="shared" si="13"/>
        <v>303</v>
      </c>
      <c r="C185" s="45">
        <v>141</v>
      </c>
      <c r="D185" s="45">
        <v>162</v>
      </c>
    </row>
    <row r="186" spans="1:7" x14ac:dyDescent="0.25">
      <c r="A186" s="41" t="s">
        <v>43</v>
      </c>
      <c r="B186" s="42">
        <f t="shared" si="13"/>
        <v>334</v>
      </c>
      <c r="C186" s="45">
        <v>152</v>
      </c>
      <c r="D186" s="45">
        <v>182</v>
      </c>
    </row>
    <row r="187" spans="1:7" x14ac:dyDescent="0.25">
      <c r="A187" s="41" t="s">
        <v>44</v>
      </c>
      <c r="B187" s="42">
        <f t="shared" si="13"/>
        <v>351</v>
      </c>
      <c r="C187" s="45">
        <v>160</v>
      </c>
      <c r="D187" s="45">
        <v>191</v>
      </c>
    </row>
    <row r="188" spans="1:7" x14ac:dyDescent="0.25">
      <c r="A188" s="41" t="s">
        <v>45</v>
      </c>
      <c r="B188" s="42">
        <f t="shared" si="13"/>
        <v>358</v>
      </c>
      <c r="C188" s="45">
        <v>176</v>
      </c>
      <c r="D188" s="45">
        <v>182</v>
      </c>
    </row>
    <row r="189" spans="1:7" x14ac:dyDescent="0.25">
      <c r="A189" s="44" t="s">
        <v>46</v>
      </c>
      <c r="B189" s="42">
        <f t="shared" si="13"/>
        <v>1948</v>
      </c>
      <c r="C189" s="45">
        <v>961</v>
      </c>
      <c r="D189" s="45">
        <v>987</v>
      </c>
    </row>
    <row r="190" spans="1:7" ht="13.8" thickBot="1" x14ac:dyDescent="0.3">
      <c r="A190" s="47"/>
      <c r="B190" s="30"/>
      <c r="C190" s="40"/>
      <c r="D190" s="40"/>
    </row>
    <row r="191" spans="1:7" ht="13.8" thickBot="1" x14ac:dyDescent="0.3">
      <c r="A191" s="37" t="s">
        <v>47</v>
      </c>
      <c r="B191" s="38">
        <f>+C191+D191</f>
        <v>16761</v>
      </c>
      <c r="C191" s="39">
        <f>SUM(C192:C204)</f>
        <v>8400</v>
      </c>
      <c r="D191" s="39">
        <f>SUM(D192:D204)</f>
        <v>8361</v>
      </c>
    </row>
    <row r="192" spans="1:7" x14ac:dyDescent="0.25">
      <c r="A192" s="48" t="s">
        <v>21</v>
      </c>
      <c r="B192" s="42">
        <f t="shared" ref="B192:B204" si="14">+C192+D192</f>
        <v>1753</v>
      </c>
      <c r="C192" s="43">
        <v>893</v>
      </c>
      <c r="D192" s="43">
        <v>860</v>
      </c>
      <c r="G192" s="1"/>
    </row>
    <row r="193" spans="1:4" x14ac:dyDescent="0.25">
      <c r="A193" s="48" t="s">
        <v>48</v>
      </c>
      <c r="B193" s="42">
        <f t="shared" si="14"/>
        <v>1399</v>
      </c>
      <c r="C193" s="45">
        <v>657</v>
      </c>
      <c r="D193" s="45">
        <v>742</v>
      </c>
    </row>
    <row r="194" spans="1:4" x14ac:dyDescent="0.25">
      <c r="A194" s="48" t="s">
        <v>49</v>
      </c>
      <c r="B194" s="42">
        <f t="shared" si="14"/>
        <v>1273</v>
      </c>
      <c r="C194" s="45">
        <v>587</v>
      </c>
      <c r="D194" s="45">
        <v>686</v>
      </c>
    </row>
    <row r="195" spans="1:4" x14ac:dyDescent="0.25">
      <c r="A195" s="48" t="s">
        <v>50</v>
      </c>
      <c r="B195" s="42">
        <f t="shared" si="14"/>
        <v>1149</v>
      </c>
      <c r="C195" s="45">
        <v>553</v>
      </c>
      <c r="D195" s="45">
        <v>596</v>
      </c>
    </row>
    <row r="196" spans="1:4" x14ac:dyDescent="0.25">
      <c r="A196" s="48" t="s">
        <v>51</v>
      </c>
      <c r="B196" s="42">
        <f t="shared" si="14"/>
        <v>1276</v>
      </c>
      <c r="C196" s="45">
        <v>636</v>
      </c>
      <c r="D196" s="45">
        <v>640</v>
      </c>
    </row>
    <row r="197" spans="1:4" x14ac:dyDescent="0.25">
      <c r="A197" s="48" t="s">
        <v>52</v>
      </c>
      <c r="B197" s="42">
        <f t="shared" si="14"/>
        <v>1359</v>
      </c>
      <c r="C197" s="45">
        <v>643</v>
      </c>
      <c r="D197" s="45">
        <v>716</v>
      </c>
    </row>
    <row r="198" spans="1:4" x14ac:dyDescent="0.25">
      <c r="A198" s="48" t="s">
        <v>53</v>
      </c>
      <c r="B198" s="42">
        <f t="shared" si="14"/>
        <v>1593</v>
      </c>
      <c r="C198" s="45">
        <v>749</v>
      </c>
      <c r="D198" s="45">
        <v>844</v>
      </c>
    </row>
    <row r="199" spans="1:4" x14ac:dyDescent="0.25">
      <c r="A199" s="48" t="s">
        <v>54</v>
      </c>
      <c r="B199" s="42">
        <f t="shared" si="14"/>
        <v>1321</v>
      </c>
      <c r="C199" s="45">
        <v>656</v>
      </c>
      <c r="D199" s="45">
        <v>665</v>
      </c>
    </row>
    <row r="200" spans="1:4" x14ac:dyDescent="0.25">
      <c r="A200" s="48" t="s">
        <v>55</v>
      </c>
      <c r="B200" s="42">
        <f t="shared" si="14"/>
        <v>1270</v>
      </c>
      <c r="C200" s="45">
        <v>606</v>
      </c>
      <c r="D200" s="45">
        <v>664</v>
      </c>
    </row>
    <row r="201" spans="1:4" x14ac:dyDescent="0.25">
      <c r="A201" s="49" t="s">
        <v>56</v>
      </c>
      <c r="B201" s="42">
        <f t="shared" si="14"/>
        <v>1237</v>
      </c>
      <c r="C201" s="45">
        <v>677</v>
      </c>
      <c r="D201" s="45">
        <v>560</v>
      </c>
    </row>
    <row r="202" spans="1:4" x14ac:dyDescent="0.25">
      <c r="A202" s="48" t="s">
        <v>57</v>
      </c>
      <c r="B202" s="42">
        <f t="shared" si="14"/>
        <v>1044</v>
      </c>
      <c r="C202" s="45">
        <v>535</v>
      </c>
      <c r="D202" s="45">
        <v>509</v>
      </c>
    </row>
    <row r="203" spans="1:4" x14ac:dyDescent="0.25">
      <c r="A203" s="48" t="s">
        <v>58</v>
      </c>
      <c r="B203" s="42">
        <f t="shared" si="14"/>
        <v>818</v>
      </c>
      <c r="C203" s="45">
        <v>413</v>
      </c>
      <c r="D203" s="45">
        <v>405</v>
      </c>
    </row>
    <row r="204" spans="1:4" x14ac:dyDescent="0.25">
      <c r="A204" s="48" t="s">
        <v>59</v>
      </c>
      <c r="B204" s="42">
        <f t="shared" si="14"/>
        <v>1269</v>
      </c>
      <c r="C204" s="45">
        <v>795</v>
      </c>
      <c r="D204" s="45">
        <v>474</v>
      </c>
    </row>
  </sheetData>
  <mergeCells count="6">
    <mergeCell ref="G86:H86"/>
    <mergeCell ref="A79:D79"/>
    <mergeCell ref="C82:D82"/>
    <mergeCell ref="A165:D165"/>
    <mergeCell ref="A123:D123"/>
    <mergeCell ref="A81:D81"/>
  </mergeCells>
  <pageMargins left="1.6929133858267718" right="0.70866141732283472" top="0.74803149606299213" bottom="0.74803149606299213" header="0.31496062992125984" footer="0.31496062992125984"/>
  <pageSetup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68C4-28C1-4EC7-8A3A-3F0C44E60241}">
  <dimension ref="A1:G145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E1"/>
    </sheetView>
  </sheetViews>
  <sheetFormatPr baseColWidth="10" defaultRowHeight="13.2" x14ac:dyDescent="0.25"/>
  <cols>
    <col min="1" max="1" width="23.6640625" customWidth="1"/>
    <col min="2" max="2" width="13.88671875" customWidth="1"/>
    <col min="3" max="3" width="7.77734375" bestFit="1" customWidth="1"/>
    <col min="4" max="4" width="17.109375" customWidth="1"/>
    <col min="5" max="5" width="16.44140625" customWidth="1"/>
    <col min="6" max="6" width="5.109375" customWidth="1"/>
  </cols>
  <sheetData>
    <row r="1" spans="1:7" ht="22.8" x14ac:dyDescent="0.25">
      <c r="A1" s="79" t="s">
        <v>109</v>
      </c>
      <c r="B1" s="79"/>
      <c r="C1" s="79"/>
      <c r="D1" s="79"/>
      <c r="E1" s="79"/>
    </row>
    <row r="2" spans="1:7" x14ac:dyDescent="0.25">
      <c r="A2" s="30"/>
      <c r="B2" s="31"/>
      <c r="C2" s="31"/>
      <c r="D2" s="31"/>
    </row>
    <row r="3" spans="1:7" ht="18" thickBot="1" x14ac:dyDescent="0.35">
      <c r="A3" s="85" t="s">
        <v>110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68309</v>
      </c>
      <c r="C6" s="74">
        <f>+C10+C22+C30</f>
        <v>2642</v>
      </c>
      <c r="D6" s="74">
        <f>+D10+D22+D30</f>
        <v>30230</v>
      </c>
      <c r="E6" s="74">
        <f>+E10+E22+E30</f>
        <v>35437</v>
      </c>
    </row>
    <row r="7" spans="1:7" ht="13.8" thickBot="1" x14ac:dyDescent="0.3">
      <c r="A7" s="41" t="s">
        <v>29</v>
      </c>
      <c r="B7" s="71">
        <f>+C7+D7+E7</f>
        <v>0</v>
      </c>
      <c r="C7" s="43">
        <f>+C56+C110</f>
        <v>0</v>
      </c>
      <c r="D7" s="43">
        <f>+D56+D110</f>
        <v>0</v>
      </c>
      <c r="E7" s="43">
        <f>+E56+E110</f>
        <v>0</v>
      </c>
      <c r="G7" s="69">
        <f>+B6+B7</f>
        <v>68309</v>
      </c>
    </row>
    <row r="8" spans="1:7" ht="18" thickBot="1" x14ac:dyDescent="0.5">
      <c r="A8" s="46"/>
      <c r="B8" s="75">
        <f>+B6+B7</f>
        <v>68309</v>
      </c>
      <c r="C8" s="75">
        <f>+C6+C7</f>
        <v>2642</v>
      </c>
      <c r="D8" s="75">
        <f>+D6+D7</f>
        <v>30230</v>
      </c>
      <c r="E8" s="75">
        <f>+E6+E7</f>
        <v>35437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7688</v>
      </c>
      <c r="C10" s="66">
        <f>SUM(C11:C20)</f>
        <v>372</v>
      </c>
      <c r="D10" s="67">
        <f>SUM(D11:D20)</f>
        <v>3475</v>
      </c>
      <c r="E10" s="68">
        <f>SUM(E11:E20)</f>
        <v>3841</v>
      </c>
    </row>
    <row r="11" spans="1:7" x14ac:dyDescent="0.25">
      <c r="A11" s="44" t="s">
        <v>30</v>
      </c>
      <c r="B11" s="65">
        <f>+C11+D11+E11</f>
        <v>547</v>
      </c>
      <c r="C11" s="43">
        <f t="shared" ref="C11:E20" si="0">+C59+C113</f>
        <v>22</v>
      </c>
      <c r="D11" s="43">
        <f t="shared" si="0"/>
        <v>254</v>
      </c>
      <c r="E11" s="43">
        <f t="shared" si="0"/>
        <v>271</v>
      </c>
    </row>
    <row r="12" spans="1:7" x14ac:dyDescent="0.25">
      <c r="A12" s="41" t="s">
        <v>31</v>
      </c>
      <c r="B12" s="65">
        <f t="shared" ref="B12:B20" si="1">+C12+D12+E12</f>
        <v>604</v>
      </c>
      <c r="C12" s="43">
        <f t="shared" si="0"/>
        <v>32</v>
      </c>
      <c r="D12" s="43">
        <f t="shared" si="0"/>
        <v>273</v>
      </c>
      <c r="E12" s="43">
        <f t="shared" si="0"/>
        <v>299</v>
      </c>
    </row>
    <row r="13" spans="1:7" x14ac:dyDescent="0.25">
      <c r="A13" s="44" t="s">
        <v>32</v>
      </c>
      <c r="B13" s="65">
        <f t="shared" si="1"/>
        <v>728</v>
      </c>
      <c r="C13" s="43">
        <f t="shared" si="0"/>
        <v>40</v>
      </c>
      <c r="D13" s="43">
        <f t="shared" si="0"/>
        <v>340</v>
      </c>
      <c r="E13" s="43">
        <f t="shared" si="0"/>
        <v>348</v>
      </c>
    </row>
    <row r="14" spans="1:7" x14ac:dyDescent="0.25">
      <c r="A14" s="44" t="s">
        <v>33</v>
      </c>
      <c r="B14" s="65">
        <f t="shared" si="1"/>
        <v>807</v>
      </c>
      <c r="C14" s="43">
        <f t="shared" si="0"/>
        <v>51</v>
      </c>
      <c r="D14" s="43">
        <f t="shared" si="0"/>
        <v>374</v>
      </c>
      <c r="E14" s="43">
        <f t="shared" si="0"/>
        <v>382</v>
      </c>
    </row>
    <row r="15" spans="1:7" x14ac:dyDescent="0.25">
      <c r="A15" s="44" t="s">
        <v>34</v>
      </c>
      <c r="B15" s="65">
        <f t="shared" si="1"/>
        <v>810</v>
      </c>
      <c r="C15" s="43">
        <f t="shared" si="0"/>
        <v>42</v>
      </c>
      <c r="D15" s="43">
        <f t="shared" si="0"/>
        <v>356</v>
      </c>
      <c r="E15" s="43">
        <f t="shared" si="0"/>
        <v>412</v>
      </c>
    </row>
    <row r="16" spans="1:7" x14ac:dyDescent="0.25">
      <c r="A16" s="44" t="s">
        <v>35</v>
      </c>
      <c r="B16" s="65">
        <f t="shared" si="1"/>
        <v>779</v>
      </c>
      <c r="C16" s="43">
        <f t="shared" si="0"/>
        <v>31</v>
      </c>
      <c r="D16" s="43">
        <f t="shared" si="0"/>
        <v>342</v>
      </c>
      <c r="E16" s="43">
        <f t="shared" si="0"/>
        <v>406</v>
      </c>
    </row>
    <row r="17" spans="1:7" x14ac:dyDescent="0.25">
      <c r="A17" s="44" t="s">
        <v>36</v>
      </c>
      <c r="B17" s="65">
        <f t="shared" si="1"/>
        <v>804</v>
      </c>
      <c r="C17" s="43">
        <f t="shared" si="0"/>
        <v>38</v>
      </c>
      <c r="D17" s="43">
        <f t="shared" si="0"/>
        <v>357</v>
      </c>
      <c r="E17" s="43">
        <f t="shared" si="0"/>
        <v>409</v>
      </c>
    </row>
    <row r="18" spans="1:7" x14ac:dyDescent="0.25">
      <c r="A18" s="44" t="s">
        <v>37</v>
      </c>
      <c r="B18" s="65">
        <f t="shared" si="1"/>
        <v>883</v>
      </c>
      <c r="C18" s="43">
        <f t="shared" si="0"/>
        <v>39</v>
      </c>
      <c r="D18" s="43">
        <f t="shared" si="0"/>
        <v>400</v>
      </c>
      <c r="E18" s="43">
        <f t="shared" si="0"/>
        <v>444</v>
      </c>
    </row>
    <row r="19" spans="1:7" x14ac:dyDescent="0.25">
      <c r="A19" s="44" t="s">
        <v>38</v>
      </c>
      <c r="B19" s="65">
        <f t="shared" si="1"/>
        <v>892</v>
      </c>
      <c r="C19" s="43">
        <f t="shared" si="0"/>
        <v>36</v>
      </c>
      <c r="D19" s="43">
        <f t="shared" si="0"/>
        <v>379</v>
      </c>
      <c r="E19" s="43">
        <f t="shared" si="0"/>
        <v>477</v>
      </c>
    </row>
    <row r="20" spans="1:7" x14ac:dyDescent="0.25">
      <c r="A20" s="44" t="s">
        <v>39</v>
      </c>
      <c r="B20" s="65">
        <f t="shared" si="1"/>
        <v>834</v>
      </c>
      <c r="C20" s="43">
        <f t="shared" si="0"/>
        <v>41</v>
      </c>
      <c r="D20" s="43">
        <f t="shared" si="0"/>
        <v>400</v>
      </c>
      <c r="E20" s="43">
        <f t="shared" si="0"/>
        <v>393</v>
      </c>
      <c r="G20" s="69">
        <f>SUM(B11:B20)</f>
        <v>7688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7985</v>
      </c>
      <c r="C22" s="39">
        <f>SUM(C23:C28)</f>
        <v>327</v>
      </c>
      <c r="D22" s="39">
        <f>SUM(D23:D28)</f>
        <v>3443</v>
      </c>
      <c r="E22" s="39">
        <f>SUM(E23:E28)</f>
        <v>4215</v>
      </c>
    </row>
    <row r="23" spans="1:7" x14ac:dyDescent="0.25">
      <c r="A23" s="41" t="s">
        <v>41</v>
      </c>
      <c r="B23" s="42">
        <f>+C23+D23+E23</f>
        <v>794</v>
      </c>
      <c r="C23" s="43">
        <f t="shared" ref="C23:E28" si="2">+C71+C125</f>
        <v>30</v>
      </c>
      <c r="D23" s="43">
        <f t="shared" si="2"/>
        <v>331</v>
      </c>
      <c r="E23" s="43">
        <f t="shared" si="2"/>
        <v>433</v>
      </c>
    </row>
    <row r="24" spans="1:7" x14ac:dyDescent="0.25">
      <c r="A24" s="41" t="s">
        <v>42</v>
      </c>
      <c r="B24" s="42">
        <f t="shared" ref="B24:B28" si="3">+C24+D24+E24</f>
        <v>814</v>
      </c>
      <c r="C24" s="43">
        <f t="shared" si="2"/>
        <v>44</v>
      </c>
      <c r="D24" s="43">
        <f t="shared" si="2"/>
        <v>345</v>
      </c>
      <c r="E24" s="43">
        <f t="shared" si="2"/>
        <v>425</v>
      </c>
    </row>
    <row r="25" spans="1:7" x14ac:dyDescent="0.25">
      <c r="A25" s="41" t="s">
        <v>43</v>
      </c>
      <c r="B25" s="42">
        <f t="shared" si="3"/>
        <v>837</v>
      </c>
      <c r="C25" s="43">
        <f t="shared" si="2"/>
        <v>41</v>
      </c>
      <c r="D25" s="43">
        <f t="shared" si="2"/>
        <v>372</v>
      </c>
      <c r="E25" s="43">
        <f t="shared" si="2"/>
        <v>424</v>
      </c>
    </row>
    <row r="26" spans="1:7" x14ac:dyDescent="0.25">
      <c r="A26" s="41" t="s">
        <v>44</v>
      </c>
      <c r="B26" s="42">
        <f t="shared" si="3"/>
        <v>876</v>
      </c>
      <c r="C26" s="43">
        <f t="shared" si="2"/>
        <v>37</v>
      </c>
      <c r="D26" s="43">
        <f t="shared" si="2"/>
        <v>359</v>
      </c>
      <c r="E26" s="43">
        <f t="shared" si="2"/>
        <v>480</v>
      </c>
    </row>
    <row r="27" spans="1:7" x14ac:dyDescent="0.25">
      <c r="A27" s="41" t="s">
        <v>45</v>
      </c>
      <c r="B27" s="42">
        <f t="shared" si="3"/>
        <v>810</v>
      </c>
      <c r="C27" s="43">
        <f t="shared" si="2"/>
        <v>25</v>
      </c>
      <c r="D27" s="43">
        <f t="shared" si="2"/>
        <v>350</v>
      </c>
      <c r="E27" s="43">
        <f t="shared" si="2"/>
        <v>435</v>
      </c>
    </row>
    <row r="28" spans="1:7" x14ac:dyDescent="0.25">
      <c r="A28" s="44" t="s">
        <v>46</v>
      </c>
      <c r="B28" s="42">
        <f t="shared" si="3"/>
        <v>3854</v>
      </c>
      <c r="C28" s="43">
        <f t="shared" si="2"/>
        <v>150</v>
      </c>
      <c r="D28" s="43">
        <f t="shared" si="2"/>
        <v>1686</v>
      </c>
      <c r="E28" s="43">
        <f t="shared" si="2"/>
        <v>2018</v>
      </c>
      <c r="G28" s="69">
        <f>SUM(B23:B28)</f>
        <v>7985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52636</v>
      </c>
      <c r="C30" s="39">
        <f>SUM(C31:C43)</f>
        <v>1943</v>
      </c>
      <c r="D30" s="39">
        <f>SUM(D31:D43)</f>
        <v>23312</v>
      </c>
      <c r="E30" s="39">
        <f>SUM(E31:E43)</f>
        <v>27381</v>
      </c>
    </row>
    <row r="31" spans="1:7" x14ac:dyDescent="0.25">
      <c r="A31" s="48" t="s">
        <v>21</v>
      </c>
      <c r="B31" s="42">
        <f>+C31+D31+E31</f>
        <v>4416</v>
      </c>
      <c r="C31" s="43">
        <f t="shared" ref="C31:E43" si="4">+C79+C133</f>
        <v>156</v>
      </c>
      <c r="D31" s="43">
        <f t="shared" si="4"/>
        <v>1979</v>
      </c>
      <c r="E31" s="43">
        <f t="shared" si="4"/>
        <v>2281</v>
      </c>
    </row>
    <row r="32" spans="1:7" x14ac:dyDescent="0.25">
      <c r="A32" s="48" t="s">
        <v>48</v>
      </c>
      <c r="B32" s="42">
        <f t="shared" ref="B32:B43" si="5">+C32+D32+E32</f>
        <v>5329</v>
      </c>
      <c r="C32" s="43">
        <f t="shared" si="4"/>
        <v>212</v>
      </c>
      <c r="D32" s="43">
        <f t="shared" si="4"/>
        <v>2453</v>
      </c>
      <c r="E32" s="43">
        <f t="shared" si="4"/>
        <v>2664</v>
      </c>
    </row>
    <row r="33" spans="1:7" x14ac:dyDescent="0.25">
      <c r="A33" s="48" t="s">
        <v>49</v>
      </c>
      <c r="B33" s="42">
        <f t="shared" si="5"/>
        <v>5623</v>
      </c>
      <c r="C33" s="43">
        <f t="shared" si="4"/>
        <v>202</v>
      </c>
      <c r="D33" s="43">
        <f t="shared" si="4"/>
        <v>2624</v>
      </c>
      <c r="E33" s="43">
        <f t="shared" si="4"/>
        <v>2797</v>
      </c>
    </row>
    <row r="34" spans="1:7" x14ac:dyDescent="0.25">
      <c r="A34" s="48" t="s">
        <v>50</v>
      </c>
      <c r="B34" s="42">
        <f t="shared" si="5"/>
        <v>4834</v>
      </c>
      <c r="C34" s="43">
        <f t="shared" si="4"/>
        <v>201</v>
      </c>
      <c r="D34" s="43">
        <f t="shared" si="4"/>
        <v>2132</v>
      </c>
      <c r="E34" s="43">
        <f t="shared" si="4"/>
        <v>2501</v>
      </c>
    </row>
    <row r="35" spans="1:7" x14ac:dyDescent="0.25">
      <c r="A35" s="48" t="s">
        <v>51</v>
      </c>
      <c r="B35" s="42">
        <f t="shared" si="5"/>
        <v>4275</v>
      </c>
      <c r="C35" s="43">
        <f t="shared" si="4"/>
        <v>158</v>
      </c>
      <c r="D35" s="43">
        <f t="shared" si="4"/>
        <v>1889</v>
      </c>
      <c r="E35" s="43">
        <f t="shared" si="4"/>
        <v>2228</v>
      </c>
    </row>
    <row r="36" spans="1:7" x14ac:dyDescent="0.25">
      <c r="A36" s="48" t="s">
        <v>52</v>
      </c>
      <c r="B36" s="42">
        <f t="shared" si="5"/>
        <v>3881</v>
      </c>
      <c r="C36" s="43">
        <f t="shared" si="4"/>
        <v>115</v>
      </c>
      <c r="D36" s="43">
        <f t="shared" si="4"/>
        <v>1692</v>
      </c>
      <c r="E36" s="43">
        <f t="shared" si="4"/>
        <v>2074</v>
      </c>
    </row>
    <row r="37" spans="1:7" x14ac:dyDescent="0.25">
      <c r="A37" s="48" t="s">
        <v>53</v>
      </c>
      <c r="B37" s="42">
        <f t="shared" si="5"/>
        <v>3903</v>
      </c>
      <c r="C37" s="43">
        <f t="shared" si="4"/>
        <v>148</v>
      </c>
      <c r="D37" s="43">
        <f t="shared" si="4"/>
        <v>1698</v>
      </c>
      <c r="E37" s="43">
        <f t="shared" si="4"/>
        <v>2057</v>
      </c>
    </row>
    <row r="38" spans="1:7" x14ac:dyDescent="0.25">
      <c r="A38" s="48" t="s">
        <v>54</v>
      </c>
      <c r="B38" s="42">
        <f t="shared" si="5"/>
        <v>3995</v>
      </c>
      <c r="C38" s="43">
        <f t="shared" si="4"/>
        <v>156</v>
      </c>
      <c r="D38" s="43">
        <f t="shared" si="4"/>
        <v>1725</v>
      </c>
      <c r="E38" s="43">
        <f t="shared" si="4"/>
        <v>2114</v>
      </c>
    </row>
    <row r="39" spans="1:7" x14ac:dyDescent="0.25">
      <c r="A39" s="48" t="s">
        <v>55</v>
      </c>
      <c r="B39" s="42">
        <f t="shared" si="5"/>
        <v>4041</v>
      </c>
      <c r="C39" s="43">
        <f t="shared" si="4"/>
        <v>154</v>
      </c>
      <c r="D39" s="43">
        <f t="shared" si="4"/>
        <v>1685</v>
      </c>
      <c r="E39" s="43">
        <f t="shared" si="4"/>
        <v>2202</v>
      </c>
    </row>
    <row r="40" spans="1:7" x14ac:dyDescent="0.25">
      <c r="A40" s="49" t="s">
        <v>56</v>
      </c>
      <c r="B40" s="42">
        <f t="shared" si="5"/>
        <v>3352</v>
      </c>
      <c r="C40" s="43">
        <f t="shared" si="4"/>
        <v>103</v>
      </c>
      <c r="D40" s="43">
        <f t="shared" si="4"/>
        <v>1408</v>
      </c>
      <c r="E40" s="43">
        <f t="shared" si="4"/>
        <v>1841</v>
      </c>
    </row>
    <row r="41" spans="1:7" x14ac:dyDescent="0.25">
      <c r="A41" s="48" t="s">
        <v>57</v>
      </c>
      <c r="B41" s="42">
        <f t="shared" si="5"/>
        <v>2719</v>
      </c>
      <c r="C41" s="43">
        <f t="shared" si="4"/>
        <v>113</v>
      </c>
      <c r="D41" s="43">
        <f t="shared" si="4"/>
        <v>1171</v>
      </c>
      <c r="E41" s="43">
        <f t="shared" si="4"/>
        <v>1435</v>
      </c>
    </row>
    <row r="42" spans="1:7" x14ac:dyDescent="0.25">
      <c r="A42" s="48" t="s">
        <v>58</v>
      </c>
      <c r="B42" s="42">
        <f t="shared" si="5"/>
        <v>2275</v>
      </c>
      <c r="C42" s="43">
        <f t="shared" si="4"/>
        <v>99</v>
      </c>
      <c r="D42" s="43">
        <f t="shared" si="4"/>
        <v>970</v>
      </c>
      <c r="E42" s="43">
        <f t="shared" si="4"/>
        <v>1206</v>
      </c>
    </row>
    <row r="43" spans="1:7" x14ac:dyDescent="0.25">
      <c r="A43" s="48" t="s">
        <v>59</v>
      </c>
      <c r="B43" s="42">
        <f t="shared" si="5"/>
        <v>3993</v>
      </c>
      <c r="C43" s="43">
        <f t="shared" si="4"/>
        <v>126</v>
      </c>
      <c r="D43" s="43">
        <f t="shared" si="4"/>
        <v>1886</v>
      </c>
      <c r="E43" s="43">
        <f t="shared" si="4"/>
        <v>1981</v>
      </c>
      <c r="G43" s="69">
        <f>SUM(B31:B43)</f>
        <v>52636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57"/>
      <c r="B46" s="57"/>
      <c r="C46" s="58"/>
      <c r="D46" s="58"/>
      <c r="E46" s="58"/>
    </row>
    <row r="47" spans="1:7" x14ac:dyDescent="0.25">
      <c r="A47" s="57"/>
      <c r="B47" s="57"/>
      <c r="C47" s="58"/>
      <c r="D47" s="58"/>
      <c r="E47" s="58"/>
    </row>
    <row r="48" spans="1:7" x14ac:dyDescent="0.25">
      <c r="A48" s="30"/>
      <c r="B48" s="30"/>
      <c r="C48" s="40"/>
      <c r="D48" s="40"/>
      <c r="E48" s="40"/>
    </row>
    <row r="49" spans="1:7" x14ac:dyDescent="0.25">
      <c r="A49" s="30"/>
      <c r="B49" s="30"/>
      <c r="C49" s="40"/>
      <c r="D49" s="40"/>
      <c r="E49" s="40"/>
    </row>
    <row r="50" spans="1:7" x14ac:dyDescent="0.25">
      <c r="A50" s="30"/>
      <c r="B50" s="30"/>
      <c r="C50" s="40"/>
      <c r="D50" s="40"/>
      <c r="E50" s="40"/>
    </row>
    <row r="51" spans="1:7" x14ac:dyDescent="0.25">
      <c r="A51" s="30"/>
      <c r="B51" s="30"/>
      <c r="C51" s="40"/>
      <c r="D51" s="40"/>
      <c r="E51" s="40"/>
    </row>
    <row r="52" spans="1:7" x14ac:dyDescent="0.25">
      <c r="A52" s="30"/>
      <c r="B52" s="30"/>
      <c r="C52" s="40"/>
      <c r="D52" s="40"/>
      <c r="E52" s="40"/>
    </row>
    <row r="53" spans="1:7" ht="17.399999999999999" x14ac:dyDescent="0.3">
      <c r="A53" s="83" t="s">
        <v>116</v>
      </c>
      <c r="B53" s="84"/>
      <c r="C53" s="84"/>
      <c r="D53" s="84"/>
      <c r="E53" s="84"/>
    </row>
    <row r="54" spans="1:7" ht="13.8" thickBot="1" x14ac:dyDescent="0.3">
      <c r="A54" s="52"/>
      <c r="B54" s="30"/>
      <c r="C54" s="40"/>
      <c r="D54" s="40"/>
      <c r="E54" s="40"/>
    </row>
    <row r="55" spans="1:7" ht="13.8" thickBot="1" x14ac:dyDescent="0.3">
      <c r="A55" s="37" t="s">
        <v>61</v>
      </c>
      <c r="B55" s="38">
        <f>+C55+D55+E55</f>
        <v>38078</v>
      </c>
      <c r="C55" s="39">
        <f>+C58+C70+C78+C56</f>
        <v>1467</v>
      </c>
      <c r="D55" s="39">
        <f>+D58+D70+D78+D56</f>
        <v>16450</v>
      </c>
      <c r="E55" s="39">
        <f>+E58+E70+E78</f>
        <v>20161</v>
      </c>
    </row>
    <row r="56" spans="1:7" x14ac:dyDescent="0.25">
      <c r="A56" s="44" t="s">
        <v>62</v>
      </c>
      <c r="B56" s="42">
        <f>+C56+D56+E56</f>
        <v>0</v>
      </c>
      <c r="C56" s="43"/>
      <c r="D56" s="43"/>
      <c r="E56" s="43">
        <v>0</v>
      </c>
      <c r="G56" s="69">
        <f>+B55+B56</f>
        <v>38078</v>
      </c>
    </row>
    <row r="57" spans="1:7" ht="13.8" thickBot="1" x14ac:dyDescent="0.3">
      <c r="A57" s="30"/>
      <c r="B57" s="30"/>
      <c r="C57" s="40"/>
      <c r="D57" s="40"/>
      <c r="E57" s="40"/>
    </row>
    <row r="58" spans="1:7" ht="13.8" thickBot="1" x14ac:dyDescent="0.3">
      <c r="A58" s="37" t="s">
        <v>28</v>
      </c>
      <c r="B58" s="38">
        <f>+C58+D58+E58</f>
        <v>3796</v>
      </c>
      <c r="C58" s="39">
        <f>SUM(C59:C68)</f>
        <v>186</v>
      </c>
      <c r="D58" s="39">
        <f>SUM(D59:D68)</f>
        <v>1724</v>
      </c>
      <c r="E58" s="39">
        <f>SUM(E59:E68)</f>
        <v>1886</v>
      </c>
    </row>
    <row r="59" spans="1:7" x14ac:dyDescent="0.25">
      <c r="A59" s="44" t="s">
        <v>30</v>
      </c>
      <c r="B59" s="42">
        <f>+C59+D59+E59</f>
        <v>281</v>
      </c>
      <c r="C59" s="45">
        <v>9</v>
      </c>
      <c r="D59" s="45">
        <v>134</v>
      </c>
      <c r="E59" s="45">
        <v>138</v>
      </c>
    </row>
    <row r="60" spans="1:7" x14ac:dyDescent="0.25">
      <c r="A60" s="41" t="s">
        <v>31</v>
      </c>
      <c r="B60" s="42">
        <f t="shared" ref="B60:B68" si="6">+C60+D60+E60</f>
        <v>284</v>
      </c>
      <c r="C60" s="45">
        <v>18</v>
      </c>
      <c r="D60" s="45">
        <v>128</v>
      </c>
      <c r="E60" s="45">
        <v>138</v>
      </c>
    </row>
    <row r="61" spans="1:7" x14ac:dyDescent="0.25">
      <c r="A61" s="44" t="s">
        <v>32</v>
      </c>
      <c r="B61" s="42">
        <f t="shared" si="6"/>
        <v>369</v>
      </c>
      <c r="C61" s="45">
        <v>24</v>
      </c>
      <c r="D61" s="45">
        <v>168</v>
      </c>
      <c r="E61" s="45">
        <v>177</v>
      </c>
    </row>
    <row r="62" spans="1:7" x14ac:dyDescent="0.25">
      <c r="A62" s="44" t="s">
        <v>33</v>
      </c>
      <c r="B62" s="42">
        <f t="shared" si="6"/>
        <v>374</v>
      </c>
      <c r="C62" s="45">
        <v>24</v>
      </c>
      <c r="D62" s="45">
        <v>168</v>
      </c>
      <c r="E62" s="45">
        <v>182</v>
      </c>
    </row>
    <row r="63" spans="1:7" x14ac:dyDescent="0.25">
      <c r="A63" s="44" t="s">
        <v>34</v>
      </c>
      <c r="B63" s="42">
        <f t="shared" si="6"/>
        <v>394</v>
      </c>
      <c r="C63" s="45">
        <v>19</v>
      </c>
      <c r="D63" s="45">
        <v>165</v>
      </c>
      <c r="E63" s="45">
        <v>210</v>
      </c>
    </row>
    <row r="64" spans="1:7" x14ac:dyDescent="0.25">
      <c r="A64" s="44" t="s">
        <v>35</v>
      </c>
      <c r="B64" s="42">
        <f t="shared" si="6"/>
        <v>389</v>
      </c>
      <c r="C64" s="45">
        <v>16</v>
      </c>
      <c r="D64" s="45">
        <v>181</v>
      </c>
      <c r="E64" s="45">
        <v>192</v>
      </c>
    </row>
    <row r="65" spans="1:7" x14ac:dyDescent="0.25">
      <c r="A65" s="44" t="s">
        <v>36</v>
      </c>
      <c r="B65" s="42">
        <f t="shared" si="6"/>
        <v>377</v>
      </c>
      <c r="C65" s="45">
        <v>16</v>
      </c>
      <c r="D65" s="45">
        <v>158</v>
      </c>
      <c r="E65" s="45">
        <v>203</v>
      </c>
    </row>
    <row r="66" spans="1:7" x14ac:dyDescent="0.25">
      <c r="A66" s="44" t="s">
        <v>37</v>
      </c>
      <c r="B66" s="42">
        <f t="shared" si="6"/>
        <v>435</v>
      </c>
      <c r="C66" s="45">
        <v>14</v>
      </c>
      <c r="D66" s="45">
        <v>209</v>
      </c>
      <c r="E66" s="45">
        <v>212</v>
      </c>
    </row>
    <row r="67" spans="1:7" x14ac:dyDescent="0.25">
      <c r="A67" s="44" t="s">
        <v>38</v>
      </c>
      <c r="B67" s="42">
        <f t="shared" si="6"/>
        <v>473</v>
      </c>
      <c r="C67" s="45">
        <v>20</v>
      </c>
      <c r="D67" s="45">
        <v>212</v>
      </c>
      <c r="E67" s="45">
        <v>241</v>
      </c>
    </row>
    <row r="68" spans="1:7" x14ac:dyDescent="0.25">
      <c r="A68" s="44" t="s">
        <v>39</v>
      </c>
      <c r="B68" s="42">
        <f t="shared" si="6"/>
        <v>420</v>
      </c>
      <c r="C68" s="45">
        <v>26</v>
      </c>
      <c r="D68" s="45">
        <v>201</v>
      </c>
      <c r="E68" s="45">
        <v>193</v>
      </c>
      <c r="G68" s="69">
        <f>SUM(B59:B68)</f>
        <v>3796</v>
      </c>
    </row>
    <row r="69" spans="1:7" ht="13.8" thickBot="1" x14ac:dyDescent="0.3">
      <c r="A69" s="46"/>
      <c r="B69" s="30"/>
      <c r="C69" s="40"/>
      <c r="D69" s="40"/>
      <c r="E69" s="40"/>
    </row>
    <row r="70" spans="1:7" ht="13.8" thickBot="1" x14ac:dyDescent="0.3">
      <c r="A70" s="37" t="s">
        <v>40</v>
      </c>
      <c r="B70" s="38">
        <f>+C70+D70+E70</f>
        <v>3990</v>
      </c>
      <c r="C70" s="39">
        <f>SUM(C71:C76)</f>
        <v>165</v>
      </c>
      <c r="D70" s="39">
        <f>SUM(D71:D76)</f>
        <v>1663</v>
      </c>
      <c r="E70" s="39">
        <f>SUM(E71:E76)</f>
        <v>2162</v>
      </c>
    </row>
    <row r="71" spans="1:7" x14ac:dyDescent="0.25">
      <c r="A71" s="41" t="s">
        <v>41</v>
      </c>
      <c r="B71" s="42">
        <f>+C71+D71+E71</f>
        <v>387</v>
      </c>
      <c r="C71" s="43">
        <v>19</v>
      </c>
      <c r="D71" s="43">
        <v>162</v>
      </c>
      <c r="E71" s="43">
        <v>206</v>
      </c>
    </row>
    <row r="72" spans="1:7" x14ac:dyDescent="0.25">
      <c r="A72" s="41" t="s">
        <v>42</v>
      </c>
      <c r="B72" s="42">
        <f t="shared" ref="B72:B76" si="7">+C72+D72+E72</f>
        <v>421</v>
      </c>
      <c r="C72" s="45">
        <v>22</v>
      </c>
      <c r="D72" s="45">
        <v>163</v>
      </c>
      <c r="E72" s="45">
        <v>236</v>
      </c>
    </row>
    <row r="73" spans="1:7" x14ac:dyDescent="0.25">
      <c r="A73" s="41" t="s">
        <v>43</v>
      </c>
      <c r="B73" s="42">
        <f t="shared" si="7"/>
        <v>385</v>
      </c>
      <c r="C73" s="45">
        <v>19</v>
      </c>
      <c r="D73" s="45">
        <v>171</v>
      </c>
      <c r="E73" s="45">
        <v>195</v>
      </c>
    </row>
    <row r="74" spans="1:7" x14ac:dyDescent="0.25">
      <c r="A74" s="41" t="s">
        <v>44</v>
      </c>
      <c r="B74" s="42">
        <f t="shared" si="7"/>
        <v>432</v>
      </c>
      <c r="C74" s="45">
        <v>15</v>
      </c>
      <c r="D74" s="45">
        <v>186</v>
      </c>
      <c r="E74" s="45">
        <v>231</v>
      </c>
    </row>
    <row r="75" spans="1:7" x14ac:dyDescent="0.25">
      <c r="A75" s="41" t="s">
        <v>45</v>
      </c>
      <c r="B75" s="42">
        <f t="shared" si="7"/>
        <v>399</v>
      </c>
      <c r="C75" s="45">
        <v>8</v>
      </c>
      <c r="D75" s="45">
        <v>169</v>
      </c>
      <c r="E75" s="45">
        <v>222</v>
      </c>
    </row>
    <row r="76" spans="1:7" x14ac:dyDescent="0.25">
      <c r="A76" s="44" t="s">
        <v>46</v>
      </c>
      <c r="B76" s="42">
        <f t="shared" si="7"/>
        <v>1966</v>
      </c>
      <c r="C76" s="45">
        <f>17+12+17+19+17</f>
        <v>82</v>
      </c>
      <c r="D76" s="45">
        <f>180+153+152+155+172</f>
        <v>812</v>
      </c>
      <c r="E76" s="45">
        <f>215+224+206+219+208</f>
        <v>1072</v>
      </c>
      <c r="G76" s="69">
        <f>SUM(B71:B76)</f>
        <v>3990</v>
      </c>
    </row>
    <row r="77" spans="1:7" ht="13.8" thickBot="1" x14ac:dyDescent="0.3">
      <c r="A77" s="47"/>
      <c r="B77" s="30"/>
      <c r="C77" s="40"/>
      <c r="D77" s="40"/>
      <c r="E77" s="40"/>
    </row>
    <row r="78" spans="1:7" ht="13.8" thickBot="1" x14ac:dyDescent="0.3">
      <c r="A78" s="37" t="s">
        <v>47</v>
      </c>
      <c r="B78" s="38">
        <f>+C78+D78+E78</f>
        <v>30292</v>
      </c>
      <c r="C78" s="39">
        <f>SUM(C79:C91)</f>
        <v>1116</v>
      </c>
      <c r="D78" s="39">
        <f>SUM(D79:D91)</f>
        <v>13063</v>
      </c>
      <c r="E78" s="39">
        <f>SUM(E79:E91)</f>
        <v>16113</v>
      </c>
    </row>
    <row r="79" spans="1:7" x14ac:dyDescent="0.25">
      <c r="A79" s="48" t="s">
        <v>21</v>
      </c>
      <c r="B79" s="42">
        <f>+C79+D79+E79</f>
        <v>2396</v>
      </c>
      <c r="C79" s="43">
        <f>12+21+22+18+19</f>
        <v>92</v>
      </c>
      <c r="D79" s="43">
        <f>178+187+198+214+281</f>
        <v>1058</v>
      </c>
      <c r="E79" s="43">
        <f>228+227+264+259+268</f>
        <v>1246</v>
      </c>
    </row>
    <row r="80" spans="1:7" x14ac:dyDescent="0.25">
      <c r="A80" s="48" t="s">
        <v>48</v>
      </c>
      <c r="B80" s="42">
        <f t="shared" ref="B80:B91" si="8">+C80+D80+E80</f>
        <v>3002</v>
      </c>
      <c r="C80" s="45">
        <f>29+20+25+28+26</f>
        <v>128</v>
      </c>
      <c r="D80" s="45">
        <f>244+276+271+260+281</f>
        <v>1332</v>
      </c>
      <c r="E80" s="45">
        <f>289+288+304+376+285</f>
        <v>1542</v>
      </c>
    </row>
    <row r="81" spans="1:7" x14ac:dyDescent="0.25">
      <c r="A81" s="48" t="s">
        <v>49</v>
      </c>
      <c r="B81" s="42">
        <f t="shared" si="8"/>
        <v>3279</v>
      </c>
      <c r="C81" s="45">
        <f>24+26+22+30+27</f>
        <v>129</v>
      </c>
      <c r="D81" s="45">
        <f>280+306+309+299+272</f>
        <v>1466</v>
      </c>
      <c r="E81" s="45">
        <f>332+327+337+351+337</f>
        <v>1684</v>
      </c>
    </row>
    <row r="82" spans="1:7" x14ac:dyDescent="0.25">
      <c r="A82" s="48" t="s">
        <v>50</v>
      </c>
      <c r="B82" s="42">
        <f t="shared" si="8"/>
        <v>2754</v>
      </c>
      <c r="C82" s="45">
        <f>23+26+23+20+18</f>
        <v>110</v>
      </c>
      <c r="D82" s="45">
        <f>261+254+222+239+218</f>
        <v>1194</v>
      </c>
      <c r="E82" s="45">
        <f>316+291+267+292+284</f>
        <v>1450</v>
      </c>
    </row>
    <row r="83" spans="1:7" x14ac:dyDescent="0.25">
      <c r="A83" s="48" t="s">
        <v>51</v>
      </c>
      <c r="B83" s="42">
        <f t="shared" si="8"/>
        <v>2430</v>
      </c>
      <c r="C83" s="45">
        <f>25+27+14+14+12</f>
        <v>92</v>
      </c>
      <c r="D83" s="45">
        <f>224+232+235+186+180</f>
        <v>1057</v>
      </c>
      <c r="E83" s="45">
        <f>287+276+249+248+221</f>
        <v>1281</v>
      </c>
    </row>
    <row r="84" spans="1:7" x14ac:dyDescent="0.25">
      <c r="A84" s="48" t="s">
        <v>52</v>
      </c>
      <c r="B84" s="42">
        <f t="shared" si="8"/>
        <v>2210</v>
      </c>
      <c r="C84" s="45">
        <f>13+13+14+14+10</f>
        <v>64</v>
      </c>
      <c r="D84" s="45">
        <f>199+185+180+192+195</f>
        <v>951</v>
      </c>
      <c r="E84" s="45">
        <f>223+239+244+250+239</f>
        <v>1195</v>
      </c>
    </row>
    <row r="85" spans="1:7" x14ac:dyDescent="0.25">
      <c r="A85" s="48" t="s">
        <v>53</v>
      </c>
      <c r="B85" s="42">
        <f t="shared" si="8"/>
        <v>2224</v>
      </c>
      <c r="C85" s="45">
        <f>9+26+16+16+13</f>
        <v>80</v>
      </c>
      <c r="D85" s="45">
        <f>181+192+207+180+182</f>
        <v>942</v>
      </c>
      <c r="E85" s="45">
        <f>247+231+239+237+248</f>
        <v>1202</v>
      </c>
    </row>
    <row r="86" spans="1:7" x14ac:dyDescent="0.25">
      <c r="A86" s="48" t="s">
        <v>54</v>
      </c>
      <c r="B86" s="42">
        <f t="shared" si="8"/>
        <v>2288</v>
      </c>
      <c r="C86" s="45">
        <f>21+17+20+24+13</f>
        <v>95</v>
      </c>
      <c r="D86" s="45">
        <f>238+186+183+193+192</f>
        <v>992</v>
      </c>
      <c r="E86" s="45">
        <f>230+235+255+248+233</f>
        <v>1201</v>
      </c>
    </row>
    <row r="87" spans="1:7" x14ac:dyDescent="0.25">
      <c r="A87" s="48" t="s">
        <v>55</v>
      </c>
      <c r="B87" s="42">
        <f t="shared" si="8"/>
        <v>2315</v>
      </c>
      <c r="C87" s="45">
        <f>16+15+21+16+13</f>
        <v>81</v>
      </c>
      <c r="D87" s="45">
        <f>216+189+192+172+188</f>
        <v>957</v>
      </c>
      <c r="E87" s="45">
        <f>266+264+269+255+223</f>
        <v>1277</v>
      </c>
    </row>
    <row r="88" spans="1:7" x14ac:dyDescent="0.25">
      <c r="A88" s="49" t="s">
        <v>56</v>
      </c>
      <c r="B88" s="42">
        <f t="shared" si="8"/>
        <v>1939</v>
      </c>
      <c r="C88" s="45">
        <f>13+14+13+8+5</f>
        <v>53</v>
      </c>
      <c r="D88" s="45">
        <f>167+170+171+150+139</f>
        <v>797</v>
      </c>
      <c r="E88" s="45">
        <f>231+253+210+189+206</f>
        <v>1089</v>
      </c>
    </row>
    <row r="89" spans="1:7" x14ac:dyDescent="0.25">
      <c r="A89" s="48" t="s">
        <v>57</v>
      </c>
      <c r="B89" s="42">
        <f t="shared" si="8"/>
        <v>1608</v>
      </c>
      <c r="C89" s="45">
        <f>14+11+15+9+10</f>
        <v>59</v>
      </c>
      <c r="D89" s="45">
        <f>148+154+132+137+131</f>
        <v>702</v>
      </c>
      <c r="E89" s="45">
        <f>171+177+171+173+155</f>
        <v>847</v>
      </c>
    </row>
    <row r="90" spans="1:7" x14ac:dyDescent="0.25">
      <c r="A90" s="48" t="s">
        <v>58</v>
      </c>
      <c r="B90" s="42">
        <f t="shared" si="8"/>
        <v>1378</v>
      </c>
      <c r="C90" s="45">
        <f>21+11+8+7+12</f>
        <v>59</v>
      </c>
      <c r="D90" s="45">
        <f>129+125+115+95+99</f>
        <v>563</v>
      </c>
      <c r="E90" s="45">
        <f>188+161+120+152+135</f>
        <v>756</v>
      </c>
    </row>
    <row r="91" spans="1:7" x14ac:dyDescent="0.25">
      <c r="A91" s="48" t="s">
        <v>59</v>
      </c>
      <c r="B91" s="42">
        <f t="shared" si="8"/>
        <v>2469</v>
      </c>
      <c r="C91" s="45">
        <f>8+7+6+10+10+3+5+5+4+4+4+4+1+1+1+1</f>
        <v>74</v>
      </c>
      <c r="D91" s="45">
        <f>112+90+93+76+74+76+58+48+42+47+43+33+33+28+23+15+9+5+4+12+6+3+1+4+2+3+4+4+2+3+6+3+5+2+5+4+6+8+2+5+3+1+49</f>
        <v>1052</v>
      </c>
      <c r="E91" s="45">
        <f>120+136+130+122+96+92+87+75+66+54+64+60+51+41+39+19+14+18+9+11+5+1+2+5+2+2+4+1+1+2+1+1+1+11</f>
        <v>1343</v>
      </c>
      <c r="G91" s="69">
        <f>SUM(B79:B91)</f>
        <v>30292</v>
      </c>
    </row>
    <row r="93" spans="1:7" x14ac:dyDescent="0.25">
      <c r="A93" s="56"/>
      <c r="B93" s="56"/>
      <c r="C93" s="56"/>
      <c r="D93" s="56"/>
      <c r="E93" s="56"/>
    </row>
    <row r="94" spans="1:7" x14ac:dyDescent="0.25">
      <c r="A94" s="56"/>
      <c r="B94" s="56"/>
      <c r="C94" s="56"/>
      <c r="D94" s="56"/>
      <c r="E94" s="56"/>
    </row>
    <row r="107" spans="1:7" ht="17.399999999999999" x14ac:dyDescent="0.3">
      <c r="A107" s="83" t="s">
        <v>117</v>
      </c>
      <c r="B107" s="84"/>
      <c r="C107" s="84"/>
      <c r="D107" s="84"/>
      <c r="E107" s="84"/>
    </row>
    <row r="108" spans="1:7" ht="13.8" thickBot="1" x14ac:dyDescent="0.3">
      <c r="A108" s="52"/>
      <c r="B108" s="30"/>
      <c r="C108" s="40"/>
      <c r="D108" s="40"/>
      <c r="E108" s="40"/>
    </row>
    <row r="109" spans="1:7" ht="13.8" thickBot="1" x14ac:dyDescent="0.3">
      <c r="A109" s="37" t="s">
        <v>64</v>
      </c>
      <c r="B109" s="38">
        <f>+C109+D109+E109</f>
        <v>30231</v>
      </c>
      <c r="C109" s="39">
        <f>+C112+C124+C132+C110</f>
        <v>1175</v>
      </c>
      <c r="D109" s="39">
        <f>+D112+D124+D132+D110</f>
        <v>13780</v>
      </c>
      <c r="E109" s="39">
        <f>+E112+E124+E132</f>
        <v>15276</v>
      </c>
    </row>
    <row r="110" spans="1:7" x14ac:dyDescent="0.25">
      <c r="A110" s="44" t="s">
        <v>62</v>
      </c>
      <c r="B110" s="42">
        <f>+C110+D110+E110</f>
        <v>0</v>
      </c>
      <c r="C110" s="43"/>
      <c r="D110" s="43"/>
      <c r="E110" s="43">
        <v>0</v>
      </c>
      <c r="G110" s="69">
        <f>+B109+B110</f>
        <v>30231</v>
      </c>
    </row>
    <row r="111" spans="1:7" ht="13.8" thickBot="1" x14ac:dyDescent="0.3">
      <c r="A111" s="30"/>
      <c r="B111" s="30"/>
      <c r="C111" s="40"/>
      <c r="D111" s="40"/>
      <c r="E111" s="40"/>
    </row>
    <row r="112" spans="1:7" ht="13.8" thickBot="1" x14ac:dyDescent="0.3">
      <c r="A112" s="37" t="s">
        <v>28</v>
      </c>
      <c r="B112" s="38">
        <f>+C112+D112+E112</f>
        <v>3892</v>
      </c>
      <c r="C112" s="39">
        <f>SUM(C113:C122)</f>
        <v>186</v>
      </c>
      <c r="D112" s="39">
        <f>SUM(D113:D122)</f>
        <v>1751</v>
      </c>
      <c r="E112" s="39">
        <f>SUM(E113:E122)</f>
        <v>1955</v>
      </c>
    </row>
    <row r="113" spans="1:7" x14ac:dyDescent="0.25">
      <c r="A113" s="44" t="s">
        <v>30</v>
      </c>
      <c r="B113" s="42">
        <f t="shared" ref="B113:B122" si="9">+C113+D113+E113</f>
        <v>266</v>
      </c>
      <c r="C113" s="45">
        <v>13</v>
      </c>
      <c r="D113" s="45">
        <v>120</v>
      </c>
      <c r="E113" s="45">
        <v>133</v>
      </c>
    </row>
    <row r="114" spans="1:7" x14ac:dyDescent="0.25">
      <c r="A114" s="41" t="s">
        <v>31</v>
      </c>
      <c r="B114" s="42">
        <f t="shared" si="9"/>
        <v>320</v>
      </c>
      <c r="C114" s="45">
        <v>14</v>
      </c>
      <c r="D114" s="45">
        <v>145</v>
      </c>
      <c r="E114" s="45">
        <v>161</v>
      </c>
    </row>
    <row r="115" spans="1:7" x14ac:dyDescent="0.25">
      <c r="A115" s="44" t="s">
        <v>32</v>
      </c>
      <c r="B115" s="42">
        <f t="shared" si="9"/>
        <v>359</v>
      </c>
      <c r="C115" s="45">
        <v>16</v>
      </c>
      <c r="D115" s="45">
        <v>172</v>
      </c>
      <c r="E115" s="45">
        <v>171</v>
      </c>
    </row>
    <row r="116" spans="1:7" x14ac:dyDescent="0.25">
      <c r="A116" s="44" t="s">
        <v>33</v>
      </c>
      <c r="B116" s="42">
        <f t="shared" si="9"/>
        <v>433</v>
      </c>
      <c r="C116" s="45">
        <v>27</v>
      </c>
      <c r="D116" s="45">
        <v>206</v>
      </c>
      <c r="E116" s="45">
        <v>200</v>
      </c>
    </row>
    <row r="117" spans="1:7" x14ac:dyDescent="0.25">
      <c r="A117" s="44" t="s">
        <v>34</v>
      </c>
      <c r="B117" s="42">
        <f t="shared" si="9"/>
        <v>416</v>
      </c>
      <c r="C117" s="45">
        <v>23</v>
      </c>
      <c r="D117" s="45">
        <v>191</v>
      </c>
      <c r="E117" s="45">
        <v>202</v>
      </c>
    </row>
    <row r="118" spans="1:7" x14ac:dyDescent="0.25">
      <c r="A118" s="44" t="s">
        <v>35</v>
      </c>
      <c r="B118" s="42">
        <f t="shared" si="9"/>
        <v>390</v>
      </c>
      <c r="C118" s="45">
        <v>15</v>
      </c>
      <c r="D118" s="45">
        <v>161</v>
      </c>
      <c r="E118" s="45">
        <v>214</v>
      </c>
    </row>
    <row r="119" spans="1:7" x14ac:dyDescent="0.25">
      <c r="A119" s="44" t="s">
        <v>36</v>
      </c>
      <c r="B119" s="42">
        <f t="shared" si="9"/>
        <v>427</v>
      </c>
      <c r="C119" s="45">
        <v>22</v>
      </c>
      <c r="D119" s="45">
        <v>199</v>
      </c>
      <c r="E119" s="45">
        <v>206</v>
      </c>
    </row>
    <row r="120" spans="1:7" x14ac:dyDescent="0.25">
      <c r="A120" s="44" t="s">
        <v>37</v>
      </c>
      <c r="B120" s="42">
        <f t="shared" si="9"/>
        <v>448</v>
      </c>
      <c r="C120" s="45">
        <v>25</v>
      </c>
      <c r="D120" s="45">
        <v>191</v>
      </c>
      <c r="E120" s="45">
        <v>232</v>
      </c>
    </row>
    <row r="121" spans="1:7" x14ac:dyDescent="0.25">
      <c r="A121" s="44" t="s">
        <v>38</v>
      </c>
      <c r="B121" s="42">
        <f t="shared" si="9"/>
        <v>419</v>
      </c>
      <c r="C121" s="45">
        <v>16</v>
      </c>
      <c r="D121" s="45">
        <v>167</v>
      </c>
      <c r="E121" s="45">
        <v>236</v>
      </c>
    </row>
    <row r="122" spans="1:7" x14ac:dyDescent="0.25">
      <c r="A122" s="44" t="s">
        <v>39</v>
      </c>
      <c r="B122" s="42">
        <f t="shared" si="9"/>
        <v>414</v>
      </c>
      <c r="C122" s="45">
        <v>15</v>
      </c>
      <c r="D122" s="45">
        <v>199</v>
      </c>
      <c r="E122" s="45">
        <v>200</v>
      </c>
      <c r="G122" s="69">
        <f>SUM(B113:B122)</f>
        <v>3892</v>
      </c>
    </row>
    <row r="123" spans="1:7" ht="13.8" thickBot="1" x14ac:dyDescent="0.3">
      <c r="A123" s="46"/>
      <c r="B123" s="30"/>
      <c r="C123" s="40"/>
      <c r="D123" s="40"/>
      <c r="E123" s="40"/>
    </row>
    <row r="124" spans="1:7" ht="13.8" thickBot="1" x14ac:dyDescent="0.3">
      <c r="A124" s="37" t="s">
        <v>40</v>
      </c>
      <c r="B124" s="38">
        <f>+C124+D124+E124</f>
        <v>3995</v>
      </c>
      <c r="C124" s="39">
        <f>SUM(C125:C130)</f>
        <v>162</v>
      </c>
      <c r="D124" s="39">
        <f t="shared" ref="D124:E124" si="10">SUM(D125:D130)</f>
        <v>1780</v>
      </c>
      <c r="E124" s="39">
        <f t="shared" si="10"/>
        <v>2053</v>
      </c>
    </row>
    <row r="125" spans="1:7" x14ac:dyDescent="0.25">
      <c r="A125" s="41" t="s">
        <v>41</v>
      </c>
      <c r="B125" s="42">
        <f t="shared" ref="B125:B130" si="11">+C125+D125+E125</f>
        <v>407</v>
      </c>
      <c r="C125" s="43">
        <v>11</v>
      </c>
      <c r="D125" s="43">
        <v>169</v>
      </c>
      <c r="E125" s="43">
        <v>227</v>
      </c>
    </row>
    <row r="126" spans="1:7" x14ac:dyDescent="0.25">
      <c r="A126" s="41" t="s">
        <v>42</v>
      </c>
      <c r="B126" s="42">
        <f t="shared" si="11"/>
        <v>393</v>
      </c>
      <c r="C126" s="45">
        <v>22</v>
      </c>
      <c r="D126" s="45">
        <v>182</v>
      </c>
      <c r="E126" s="45">
        <v>189</v>
      </c>
    </row>
    <row r="127" spans="1:7" x14ac:dyDescent="0.25">
      <c r="A127" s="41" t="s">
        <v>43</v>
      </c>
      <c r="B127" s="42">
        <f t="shared" si="11"/>
        <v>452</v>
      </c>
      <c r="C127" s="45">
        <v>22</v>
      </c>
      <c r="D127" s="45">
        <v>201</v>
      </c>
      <c r="E127" s="45">
        <v>229</v>
      </c>
    </row>
    <row r="128" spans="1:7" x14ac:dyDescent="0.25">
      <c r="A128" s="41" t="s">
        <v>44</v>
      </c>
      <c r="B128" s="42">
        <f t="shared" si="11"/>
        <v>444</v>
      </c>
      <c r="C128" s="45">
        <v>22</v>
      </c>
      <c r="D128" s="45">
        <v>173</v>
      </c>
      <c r="E128" s="45">
        <v>249</v>
      </c>
    </row>
    <row r="129" spans="1:7" x14ac:dyDescent="0.25">
      <c r="A129" s="41" t="s">
        <v>45</v>
      </c>
      <c r="B129" s="42">
        <f t="shared" si="11"/>
        <v>411</v>
      </c>
      <c r="C129" s="45">
        <v>17</v>
      </c>
      <c r="D129" s="45">
        <v>181</v>
      </c>
      <c r="E129" s="45">
        <v>213</v>
      </c>
    </row>
    <row r="130" spans="1:7" x14ac:dyDescent="0.25">
      <c r="A130" s="44" t="s">
        <v>46</v>
      </c>
      <c r="B130" s="42">
        <f t="shared" si="11"/>
        <v>1888</v>
      </c>
      <c r="C130" s="45">
        <f>11+19+8+15+15</f>
        <v>68</v>
      </c>
      <c r="D130" s="45">
        <f>176+165+149+187+197</f>
        <v>874</v>
      </c>
      <c r="E130" s="45">
        <f>203+185+208+172+178</f>
        <v>946</v>
      </c>
      <c r="G130" s="69">
        <f>SUM(B125:B130)</f>
        <v>3995</v>
      </c>
    </row>
    <row r="131" spans="1:7" ht="13.8" thickBot="1" x14ac:dyDescent="0.3">
      <c r="A131" s="47"/>
      <c r="B131" s="30"/>
      <c r="C131" s="40"/>
      <c r="D131" s="40"/>
      <c r="E131" s="40"/>
    </row>
    <row r="132" spans="1:7" ht="13.8" thickBot="1" x14ac:dyDescent="0.3">
      <c r="A132" s="37" t="s">
        <v>47</v>
      </c>
      <c r="B132" s="38">
        <f>+C132+D132+E132</f>
        <v>22344</v>
      </c>
      <c r="C132" s="39">
        <f>SUM(C133:C145)</f>
        <v>827</v>
      </c>
      <c r="D132" s="39">
        <f t="shared" ref="D132:E132" si="12">SUM(D133:D145)</f>
        <v>10249</v>
      </c>
      <c r="E132" s="39">
        <f t="shared" si="12"/>
        <v>11268</v>
      </c>
    </row>
    <row r="133" spans="1:7" x14ac:dyDescent="0.25">
      <c r="A133" s="48" t="s">
        <v>21</v>
      </c>
      <c r="B133" s="42">
        <f>+C133+D133+E133</f>
        <v>2020</v>
      </c>
      <c r="C133" s="43">
        <f>10+18+15+11+10</f>
        <v>64</v>
      </c>
      <c r="D133" s="43">
        <f>159+156+187+210+209</f>
        <v>921</v>
      </c>
      <c r="E133" s="43">
        <f>202+212+217+203+201</f>
        <v>1035</v>
      </c>
    </row>
    <row r="134" spans="1:7" x14ac:dyDescent="0.25">
      <c r="A134" s="48" t="s">
        <v>48</v>
      </c>
      <c r="B134" s="42">
        <f t="shared" ref="B134:B145" si="13">+C134+D134+E134</f>
        <v>2327</v>
      </c>
      <c r="C134" s="45">
        <f>20+13+15+9+27</f>
        <v>84</v>
      </c>
      <c r="D134" s="45">
        <f>223+236+209+254+199</f>
        <v>1121</v>
      </c>
      <c r="E134" s="45">
        <f>220+238+232+219+213</f>
        <v>1122</v>
      </c>
    </row>
    <row r="135" spans="1:7" x14ac:dyDescent="0.25">
      <c r="A135" s="48" t="s">
        <v>49</v>
      </c>
      <c r="B135" s="42">
        <f t="shared" si="13"/>
        <v>2344</v>
      </c>
      <c r="C135" s="45">
        <f>13+11+16+14+19</f>
        <v>73</v>
      </c>
      <c r="D135" s="45">
        <f>233+236+212+239+238</f>
        <v>1158</v>
      </c>
      <c r="E135" s="45">
        <f>203+234+235+217+224</f>
        <v>1113</v>
      </c>
    </row>
    <row r="136" spans="1:7" x14ac:dyDescent="0.25">
      <c r="A136" s="48" t="s">
        <v>50</v>
      </c>
      <c r="B136" s="42">
        <f t="shared" si="13"/>
        <v>2080</v>
      </c>
      <c r="C136" s="45">
        <f>13+24+17+18+19</f>
        <v>91</v>
      </c>
      <c r="D136" s="45">
        <f>224+191+173+193+157</f>
        <v>938</v>
      </c>
      <c r="E136" s="45">
        <f>244+233+197+179+198</f>
        <v>1051</v>
      </c>
    </row>
    <row r="137" spans="1:7" x14ac:dyDescent="0.25">
      <c r="A137" s="48" t="s">
        <v>51</v>
      </c>
      <c r="B137" s="42">
        <f t="shared" si="13"/>
        <v>1845</v>
      </c>
      <c r="C137" s="45">
        <f>16+12+17+15+6</f>
        <v>66</v>
      </c>
      <c r="D137" s="45">
        <f>194+188+133+164+153</f>
        <v>832</v>
      </c>
      <c r="E137" s="45">
        <f>207+197+194+181+168</f>
        <v>947</v>
      </c>
    </row>
    <row r="138" spans="1:7" x14ac:dyDescent="0.25">
      <c r="A138" s="48" t="s">
        <v>52</v>
      </c>
      <c r="B138" s="42">
        <f t="shared" si="13"/>
        <v>1671</v>
      </c>
      <c r="C138" s="45">
        <f>10+12+7+12+10</f>
        <v>51</v>
      </c>
      <c r="D138" s="45">
        <f>138+143+158+136+166</f>
        <v>741</v>
      </c>
      <c r="E138" s="45">
        <f>161+181+164+185+188</f>
        <v>879</v>
      </c>
    </row>
    <row r="139" spans="1:7" x14ac:dyDescent="0.25">
      <c r="A139" s="48" t="s">
        <v>53</v>
      </c>
      <c r="B139" s="42">
        <f t="shared" si="13"/>
        <v>1679</v>
      </c>
      <c r="C139" s="45">
        <f>21+7+12+16+12</f>
        <v>68</v>
      </c>
      <c r="D139" s="45">
        <f>155+147+150+154+150</f>
        <v>756</v>
      </c>
      <c r="E139" s="45">
        <f>162+197+154+163+179</f>
        <v>855</v>
      </c>
    </row>
    <row r="140" spans="1:7" x14ac:dyDescent="0.25">
      <c r="A140" s="48" t="s">
        <v>54</v>
      </c>
      <c r="B140" s="42">
        <f t="shared" si="13"/>
        <v>1707</v>
      </c>
      <c r="C140" s="45">
        <f>12+9+18+11+11</f>
        <v>61</v>
      </c>
      <c r="D140" s="45">
        <f>142+139+141+144+167</f>
        <v>733</v>
      </c>
      <c r="E140" s="45">
        <f>179+164+186+172+212</f>
        <v>913</v>
      </c>
    </row>
    <row r="141" spans="1:7" x14ac:dyDescent="0.25">
      <c r="A141" s="48" t="s">
        <v>55</v>
      </c>
      <c r="B141" s="42">
        <f t="shared" si="13"/>
        <v>1726</v>
      </c>
      <c r="C141" s="45">
        <f>16+18+14+16+9</f>
        <v>73</v>
      </c>
      <c r="D141" s="45">
        <f>146+139+158+153+132</f>
        <v>728</v>
      </c>
      <c r="E141" s="45">
        <f>182+199+184+191+169</f>
        <v>925</v>
      </c>
    </row>
    <row r="142" spans="1:7" x14ac:dyDescent="0.25">
      <c r="A142" s="49" t="s">
        <v>56</v>
      </c>
      <c r="B142" s="42">
        <f t="shared" si="13"/>
        <v>1413</v>
      </c>
      <c r="C142" s="45">
        <f>13+12+6+12+7</f>
        <v>50</v>
      </c>
      <c r="D142" s="45">
        <f>134+123+138+120+96</f>
        <v>611</v>
      </c>
      <c r="E142" s="45">
        <f>169+157+128+154+144</f>
        <v>752</v>
      </c>
    </row>
    <row r="143" spans="1:7" x14ac:dyDescent="0.25">
      <c r="A143" s="48" t="s">
        <v>57</v>
      </c>
      <c r="B143" s="42">
        <f t="shared" si="13"/>
        <v>1111</v>
      </c>
      <c r="C143" s="45">
        <f>12+13+12+8+9</f>
        <v>54</v>
      </c>
      <c r="D143" s="45">
        <f>94+92+89+92+102</f>
        <v>469</v>
      </c>
      <c r="E143" s="45">
        <f>130+136+109+113+100</f>
        <v>588</v>
      </c>
    </row>
    <row r="144" spans="1:7" x14ac:dyDescent="0.25">
      <c r="A144" s="48" t="s">
        <v>58</v>
      </c>
      <c r="B144" s="42">
        <f t="shared" si="13"/>
        <v>897</v>
      </c>
      <c r="C144" s="45">
        <f>7+10+8+8+7</f>
        <v>40</v>
      </c>
      <c r="D144" s="45">
        <f>90+82+89+81+65</f>
        <v>407</v>
      </c>
      <c r="E144" s="45">
        <f>114+87+83+77+89</f>
        <v>450</v>
      </c>
    </row>
    <row r="145" spans="1:7" x14ac:dyDescent="0.25">
      <c r="A145" s="48" t="s">
        <v>59</v>
      </c>
      <c r="B145" s="42">
        <f t="shared" si="13"/>
        <v>1524</v>
      </c>
      <c r="C145" s="45">
        <f>5+3+4+8+4+5+7+4+4+2+1+1+2+1+1</f>
        <v>52</v>
      </c>
      <c r="D145" s="45">
        <f>77+52+49+51+41+32+40+21+18+22+22+12+12+14+3+8+6+4+6+2+2+5+5+2+4+8+5+10+10+11+6+10+11+12+8+16+7+6+7+4+6+61+9+117</f>
        <v>834</v>
      </c>
      <c r="E145" s="45">
        <f>70+59+70+58+53+40+42+42+42+24+15+22+12+20+4+8+9+3+3+3+3+3+1+2+1+1+1+1+1+2+3+2+3+15</f>
        <v>638</v>
      </c>
      <c r="G145" s="69">
        <f>SUM(B133:B145)</f>
        <v>22344</v>
      </c>
    </row>
  </sheetData>
  <mergeCells count="5">
    <mergeCell ref="A1:E1"/>
    <mergeCell ref="A3:E3"/>
    <mergeCell ref="C4:E4"/>
    <mergeCell ref="A53:E53"/>
    <mergeCell ref="A107:E107"/>
  </mergeCells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B175-11A4-4FA4-B8C8-215519B192D0}">
  <dimension ref="A1:G151"/>
  <sheetViews>
    <sheetView workbookViewId="0">
      <selection sqref="A1:G1"/>
    </sheetView>
  </sheetViews>
  <sheetFormatPr baseColWidth="10" defaultRowHeight="13.2" x14ac:dyDescent="0.25"/>
  <cols>
    <col min="1" max="1" width="18.88671875" bestFit="1" customWidth="1"/>
    <col min="2" max="5" width="15.77734375" customWidth="1"/>
    <col min="6" max="6" width="5.6640625" customWidth="1"/>
    <col min="7" max="7" width="6.5546875" bestFit="1" customWidth="1"/>
  </cols>
  <sheetData>
    <row r="1" spans="1:7" ht="22.2" x14ac:dyDescent="0.25">
      <c r="A1" s="88" t="s">
        <v>111</v>
      </c>
      <c r="B1" s="88"/>
      <c r="C1" s="88"/>
      <c r="D1" s="88"/>
      <c r="E1" s="88"/>
      <c r="F1" s="88"/>
      <c r="G1" s="88"/>
    </row>
    <row r="2" spans="1:7" ht="22.8" x14ac:dyDescent="0.25">
      <c r="A2" s="30"/>
      <c r="B2" s="89" t="s">
        <v>113</v>
      </c>
      <c r="C2" s="89"/>
      <c r="D2" s="89"/>
      <c r="E2" s="89"/>
    </row>
    <row r="3" spans="1:7" ht="18" thickBot="1" x14ac:dyDescent="0.35">
      <c r="A3" s="85" t="s">
        <v>112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73551</v>
      </c>
      <c r="C6" s="74">
        <f>+C10+C22+C30</f>
        <v>2926</v>
      </c>
      <c r="D6" s="74">
        <f>+D10+D22+D30</f>
        <v>32206</v>
      </c>
      <c r="E6" s="74">
        <f>+E10+E22+E30</f>
        <v>38419</v>
      </c>
    </row>
    <row r="7" spans="1:7" ht="13.8" thickBot="1" x14ac:dyDescent="0.3">
      <c r="A7" s="41" t="s">
        <v>29</v>
      </c>
      <c r="B7" s="71">
        <f>+C7+D7+E7</f>
        <v>196</v>
      </c>
      <c r="C7" s="43">
        <f>+C59+C116</f>
        <v>1</v>
      </c>
      <c r="D7" s="43">
        <f>+D59+D116</f>
        <v>168</v>
      </c>
      <c r="E7" s="43">
        <f>+E59+E116</f>
        <v>27</v>
      </c>
      <c r="G7" s="69">
        <f>+B6+B7</f>
        <v>73747</v>
      </c>
    </row>
    <row r="8" spans="1:7" ht="18" thickBot="1" x14ac:dyDescent="0.5">
      <c r="A8" s="46"/>
      <c r="B8" s="75">
        <f>+B6+B7</f>
        <v>73747</v>
      </c>
      <c r="C8" s="75">
        <f>+C6+C7</f>
        <v>2927</v>
      </c>
      <c r="D8" s="75">
        <f>+D6+D7</f>
        <v>32374</v>
      </c>
      <c r="E8" s="75">
        <f>+E6+E7</f>
        <v>38446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8409</v>
      </c>
      <c r="C10" s="66">
        <f>SUM(C11:C20)</f>
        <v>394</v>
      </c>
      <c r="D10" s="67">
        <f>SUM(D11:D20)</f>
        <v>3696</v>
      </c>
      <c r="E10" s="68">
        <f>SUM(E11:E20)</f>
        <v>4319</v>
      </c>
    </row>
    <row r="11" spans="1:7" x14ac:dyDescent="0.25">
      <c r="A11" s="44" t="s">
        <v>30</v>
      </c>
      <c r="B11" s="65">
        <f>+C11+D11+E11</f>
        <v>615</v>
      </c>
      <c r="C11" s="43">
        <f t="shared" ref="C11:E20" si="0">+C62+C119</f>
        <v>26</v>
      </c>
      <c r="D11" s="43">
        <f t="shared" si="0"/>
        <v>244</v>
      </c>
      <c r="E11" s="43">
        <f t="shared" si="0"/>
        <v>345</v>
      </c>
    </row>
    <row r="12" spans="1:7" x14ac:dyDescent="0.25">
      <c r="A12" s="41" t="s">
        <v>31</v>
      </c>
      <c r="B12" s="65">
        <f t="shared" ref="B12:B20" si="1">+C12+D12+E12</f>
        <v>693</v>
      </c>
      <c r="C12" s="43">
        <f t="shared" si="0"/>
        <v>35</v>
      </c>
      <c r="D12" s="43">
        <f t="shared" si="0"/>
        <v>290</v>
      </c>
      <c r="E12" s="43">
        <f t="shared" si="0"/>
        <v>368</v>
      </c>
    </row>
    <row r="13" spans="1:7" x14ac:dyDescent="0.25">
      <c r="A13" s="44" t="s">
        <v>32</v>
      </c>
      <c r="B13" s="65">
        <f t="shared" si="1"/>
        <v>699</v>
      </c>
      <c r="C13" s="43">
        <f t="shared" si="0"/>
        <v>39</v>
      </c>
      <c r="D13" s="43">
        <f t="shared" si="0"/>
        <v>301</v>
      </c>
      <c r="E13" s="43">
        <f t="shared" si="0"/>
        <v>359</v>
      </c>
    </row>
    <row r="14" spans="1:7" x14ac:dyDescent="0.25">
      <c r="A14" s="44" t="s">
        <v>33</v>
      </c>
      <c r="B14" s="65">
        <f t="shared" si="1"/>
        <v>815</v>
      </c>
      <c r="C14" s="43">
        <f t="shared" si="0"/>
        <v>46</v>
      </c>
      <c r="D14" s="43">
        <f t="shared" si="0"/>
        <v>376</v>
      </c>
      <c r="E14" s="43">
        <f t="shared" si="0"/>
        <v>393</v>
      </c>
    </row>
    <row r="15" spans="1:7" x14ac:dyDescent="0.25">
      <c r="A15" s="44" t="s">
        <v>34</v>
      </c>
      <c r="B15" s="65">
        <f t="shared" si="1"/>
        <v>883</v>
      </c>
      <c r="C15" s="43">
        <f t="shared" si="0"/>
        <v>49</v>
      </c>
      <c r="D15" s="43">
        <f t="shared" si="0"/>
        <v>410</v>
      </c>
      <c r="E15" s="43">
        <f t="shared" si="0"/>
        <v>424</v>
      </c>
    </row>
    <row r="16" spans="1:7" x14ac:dyDescent="0.25">
      <c r="A16" s="44" t="s">
        <v>35</v>
      </c>
      <c r="B16" s="65">
        <f t="shared" si="1"/>
        <v>897</v>
      </c>
      <c r="C16" s="43">
        <f t="shared" si="0"/>
        <v>43</v>
      </c>
      <c r="D16" s="43">
        <f t="shared" si="0"/>
        <v>396</v>
      </c>
      <c r="E16" s="43">
        <f t="shared" si="0"/>
        <v>458</v>
      </c>
    </row>
    <row r="17" spans="1:7" x14ac:dyDescent="0.25">
      <c r="A17" s="44" t="s">
        <v>36</v>
      </c>
      <c r="B17" s="65">
        <f t="shared" si="1"/>
        <v>870</v>
      </c>
      <c r="C17" s="43">
        <f t="shared" si="0"/>
        <v>33</v>
      </c>
      <c r="D17" s="43">
        <f t="shared" si="0"/>
        <v>383</v>
      </c>
      <c r="E17" s="43">
        <f t="shared" si="0"/>
        <v>454</v>
      </c>
    </row>
    <row r="18" spans="1:7" x14ac:dyDescent="0.25">
      <c r="A18" s="44" t="s">
        <v>37</v>
      </c>
      <c r="B18" s="65">
        <f t="shared" si="1"/>
        <v>917</v>
      </c>
      <c r="C18" s="43">
        <f t="shared" si="0"/>
        <v>40</v>
      </c>
      <c r="D18" s="43">
        <f t="shared" si="0"/>
        <v>409</v>
      </c>
      <c r="E18" s="43">
        <f t="shared" si="0"/>
        <v>468</v>
      </c>
    </row>
    <row r="19" spans="1:7" x14ac:dyDescent="0.25">
      <c r="A19" s="44" t="s">
        <v>38</v>
      </c>
      <c r="B19" s="65">
        <f t="shared" si="1"/>
        <v>1005</v>
      </c>
      <c r="C19" s="43">
        <f t="shared" si="0"/>
        <v>46</v>
      </c>
      <c r="D19" s="43">
        <f t="shared" si="0"/>
        <v>444</v>
      </c>
      <c r="E19" s="43">
        <f t="shared" si="0"/>
        <v>515</v>
      </c>
    </row>
    <row r="20" spans="1:7" x14ac:dyDescent="0.25">
      <c r="A20" s="44" t="s">
        <v>39</v>
      </c>
      <c r="B20" s="65">
        <f t="shared" si="1"/>
        <v>1015</v>
      </c>
      <c r="C20" s="43">
        <f t="shared" si="0"/>
        <v>37</v>
      </c>
      <c r="D20" s="43">
        <f t="shared" si="0"/>
        <v>443</v>
      </c>
      <c r="E20" s="43">
        <f t="shared" si="0"/>
        <v>535</v>
      </c>
      <c r="G20" s="69">
        <f>SUM(B11:B20)</f>
        <v>8409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8851</v>
      </c>
      <c r="C22" s="39">
        <f>SUM(C23:C28)</f>
        <v>390</v>
      </c>
      <c r="D22" s="39">
        <f>SUM(D23:D28)</f>
        <v>3834</v>
      </c>
      <c r="E22" s="39">
        <f>SUM(E23:E28)</f>
        <v>4627</v>
      </c>
    </row>
    <row r="23" spans="1:7" x14ac:dyDescent="0.25">
      <c r="A23" s="41" t="s">
        <v>41</v>
      </c>
      <c r="B23" s="42">
        <f>+C23+D23+E23</f>
        <v>931</v>
      </c>
      <c r="C23" s="43">
        <f t="shared" ref="C23" si="2">+C74+C131</f>
        <v>42</v>
      </c>
      <c r="D23" s="43">
        <f t="shared" ref="D23:E28" si="3">+D74+D131</f>
        <v>438</v>
      </c>
      <c r="E23" s="43">
        <f t="shared" si="3"/>
        <v>451</v>
      </c>
    </row>
    <row r="24" spans="1:7" x14ac:dyDescent="0.25">
      <c r="A24" s="41" t="s">
        <v>42</v>
      </c>
      <c r="B24" s="42">
        <f t="shared" ref="B24:B28" si="4">+C24+D24+E24</f>
        <v>896</v>
      </c>
      <c r="C24" s="43">
        <f t="shared" ref="C24" si="5">+C75+C132</f>
        <v>34</v>
      </c>
      <c r="D24" s="43">
        <f t="shared" si="3"/>
        <v>369</v>
      </c>
      <c r="E24" s="43">
        <f t="shared" si="3"/>
        <v>493</v>
      </c>
    </row>
    <row r="25" spans="1:7" x14ac:dyDescent="0.25">
      <c r="A25" s="41" t="s">
        <v>43</v>
      </c>
      <c r="B25" s="42">
        <f t="shared" si="4"/>
        <v>889</v>
      </c>
      <c r="C25" s="43">
        <f t="shared" ref="C25" si="6">+C76+C133</f>
        <v>49</v>
      </c>
      <c r="D25" s="43">
        <f t="shared" si="3"/>
        <v>378</v>
      </c>
      <c r="E25" s="43">
        <f t="shared" si="3"/>
        <v>462</v>
      </c>
    </row>
    <row r="26" spans="1:7" x14ac:dyDescent="0.25">
      <c r="A26" s="41" t="s">
        <v>44</v>
      </c>
      <c r="B26" s="42">
        <f t="shared" si="4"/>
        <v>941</v>
      </c>
      <c r="C26" s="43">
        <f t="shared" ref="C26" si="7">+C77+C134</f>
        <v>41</v>
      </c>
      <c r="D26" s="43">
        <f t="shared" si="3"/>
        <v>422</v>
      </c>
      <c r="E26" s="43">
        <f t="shared" si="3"/>
        <v>478</v>
      </c>
    </row>
    <row r="27" spans="1:7" x14ac:dyDescent="0.25">
      <c r="A27" s="41" t="s">
        <v>45</v>
      </c>
      <c r="B27" s="42">
        <f t="shared" si="4"/>
        <v>965</v>
      </c>
      <c r="C27" s="43">
        <f t="shared" ref="C27" si="8">+C78+C135</f>
        <v>45</v>
      </c>
      <c r="D27" s="43">
        <f t="shared" si="3"/>
        <v>410</v>
      </c>
      <c r="E27" s="43">
        <f t="shared" si="3"/>
        <v>510</v>
      </c>
    </row>
    <row r="28" spans="1:7" x14ac:dyDescent="0.25">
      <c r="A28" s="44" t="s">
        <v>46</v>
      </c>
      <c r="B28" s="42">
        <f t="shared" si="4"/>
        <v>4229</v>
      </c>
      <c r="C28" s="43">
        <f t="shared" ref="C28" si="9">+C79+C136</f>
        <v>179</v>
      </c>
      <c r="D28" s="43">
        <f t="shared" si="3"/>
        <v>1817</v>
      </c>
      <c r="E28" s="43">
        <f t="shared" si="3"/>
        <v>2233</v>
      </c>
      <c r="G28" s="69">
        <f>SUM(B23:B28)</f>
        <v>8851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56291</v>
      </c>
      <c r="C30" s="39">
        <f>SUM(C31:C43)</f>
        <v>2142</v>
      </c>
      <c r="D30" s="39">
        <f>SUM(D31:D43)</f>
        <v>24676</v>
      </c>
      <c r="E30" s="39">
        <f>SUM(E31:E43)</f>
        <v>29473</v>
      </c>
    </row>
    <row r="31" spans="1:7" x14ac:dyDescent="0.25">
      <c r="A31" s="48" t="s">
        <v>21</v>
      </c>
      <c r="B31" s="42">
        <f>+C31+D31+E31</f>
        <v>4631</v>
      </c>
      <c r="C31" s="43">
        <f t="shared" ref="C31" si="10">+C82+C139</f>
        <v>183</v>
      </c>
      <c r="D31" s="43">
        <f t="shared" ref="D31:E43" si="11">+D82+D139</f>
        <v>2030</v>
      </c>
      <c r="E31" s="43">
        <f t="shared" si="11"/>
        <v>2418</v>
      </c>
    </row>
    <row r="32" spans="1:7" x14ac:dyDescent="0.25">
      <c r="A32" s="48" t="s">
        <v>48</v>
      </c>
      <c r="B32" s="42">
        <f t="shared" ref="B32:B43" si="12">+C32+D32+E32</f>
        <v>5855</v>
      </c>
      <c r="C32" s="43">
        <f t="shared" ref="C32" si="13">+C83+C140</f>
        <v>204</v>
      </c>
      <c r="D32" s="43">
        <f t="shared" si="11"/>
        <v>2725</v>
      </c>
      <c r="E32" s="43">
        <f t="shared" si="11"/>
        <v>2926</v>
      </c>
    </row>
    <row r="33" spans="1:7" x14ac:dyDescent="0.25">
      <c r="A33" s="48" t="s">
        <v>49</v>
      </c>
      <c r="B33" s="42">
        <f t="shared" si="12"/>
        <v>6162</v>
      </c>
      <c r="C33" s="43">
        <f t="shared" ref="C33" si="14">+C84+C141</f>
        <v>231</v>
      </c>
      <c r="D33" s="43">
        <f t="shared" si="11"/>
        <v>2870</v>
      </c>
      <c r="E33" s="43">
        <f t="shared" si="11"/>
        <v>3061</v>
      </c>
    </row>
    <row r="34" spans="1:7" x14ac:dyDescent="0.25">
      <c r="A34" s="48" t="s">
        <v>50</v>
      </c>
      <c r="B34" s="42">
        <f t="shared" si="12"/>
        <v>5497</v>
      </c>
      <c r="C34" s="43">
        <f t="shared" ref="C34" si="15">+C85+C142</f>
        <v>229</v>
      </c>
      <c r="D34" s="43">
        <f t="shared" si="11"/>
        <v>2465</v>
      </c>
      <c r="E34" s="43">
        <f t="shared" si="11"/>
        <v>2803</v>
      </c>
    </row>
    <row r="35" spans="1:7" x14ac:dyDescent="0.25">
      <c r="A35" s="48" t="s">
        <v>51</v>
      </c>
      <c r="B35" s="42">
        <f t="shared" si="12"/>
        <v>4793</v>
      </c>
      <c r="C35" s="43">
        <f t="shared" ref="C35" si="16">+C86+C143</f>
        <v>185</v>
      </c>
      <c r="D35" s="43">
        <f t="shared" si="11"/>
        <v>2105</v>
      </c>
      <c r="E35" s="43">
        <f t="shared" si="11"/>
        <v>2503</v>
      </c>
    </row>
    <row r="36" spans="1:7" x14ac:dyDescent="0.25">
      <c r="A36" s="48" t="s">
        <v>52</v>
      </c>
      <c r="B36" s="42">
        <f t="shared" si="12"/>
        <v>4054</v>
      </c>
      <c r="C36" s="43">
        <f t="shared" ref="C36" si="17">+C87+C144</f>
        <v>133</v>
      </c>
      <c r="D36" s="43">
        <f t="shared" si="11"/>
        <v>1743</v>
      </c>
      <c r="E36" s="43">
        <f t="shared" si="11"/>
        <v>2178</v>
      </c>
    </row>
    <row r="37" spans="1:7" x14ac:dyDescent="0.25">
      <c r="A37" s="48" t="s">
        <v>53</v>
      </c>
      <c r="B37" s="42">
        <f t="shared" si="12"/>
        <v>4152</v>
      </c>
      <c r="C37" s="43">
        <f t="shared" ref="C37" si="18">+C88+C145</f>
        <v>153</v>
      </c>
      <c r="D37" s="43">
        <f t="shared" si="11"/>
        <v>1794</v>
      </c>
      <c r="E37" s="43">
        <f t="shared" si="11"/>
        <v>2205</v>
      </c>
    </row>
    <row r="38" spans="1:7" x14ac:dyDescent="0.25">
      <c r="A38" s="48" t="s">
        <v>54</v>
      </c>
      <c r="B38" s="42">
        <f t="shared" si="12"/>
        <v>4132</v>
      </c>
      <c r="C38" s="43">
        <f t="shared" ref="C38" si="19">+C89+C146</f>
        <v>167</v>
      </c>
      <c r="D38" s="43">
        <f t="shared" si="11"/>
        <v>1768</v>
      </c>
      <c r="E38" s="43">
        <f t="shared" si="11"/>
        <v>2197</v>
      </c>
    </row>
    <row r="39" spans="1:7" x14ac:dyDescent="0.25">
      <c r="A39" s="48" t="s">
        <v>55</v>
      </c>
      <c r="B39" s="42">
        <f t="shared" si="12"/>
        <v>4290</v>
      </c>
      <c r="C39" s="43">
        <f t="shared" ref="C39" si="20">+C90+C147</f>
        <v>174</v>
      </c>
      <c r="D39" s="43">
        <f t="shared" si="11"/>
        <v>1735</v>
      </c>
      <c r="E39" s="43">
        <f t="shared" si="11"/>
        <v>2381</v>
      </c>
    </row>
    <row r="40" spans="1:7" x14ac:dyDescent="0.25">
      <c r="A40" s="49" t="s">
        <v>56</v>
      </c>
      <c r="B40" s="42">
        <f t="shared" si="12"/>
        <v>3595</v>
      </c>
      <c r="C40" s="43">
        <f t="shared" ref="C40" si="21">+C91+C148</f>
        <v>128</v>
      </c>
      <c r="D40" s="43">
        <f t="shared" si="11"/>
        <v>1515</v>
      </c>
      <c r="E40" s="43">
        <f t="shared" si="11"/>
        <v>1952</v>
      </c>
    </row>
    <row r="41" spans="1:7" x14ac:dyDescent="0.25">
      <c r="A41" s="48" t="s">
        <v>57</v>
      </c>
      <c r="B41" s="42">
        <f t="shared" si="12"/>
        <v>2847</v>
      </c>
      <c r="C41" s="43">
        <f t="shared" ref="C41" si="22">+C92+C149</f>
        <v>113</v>
      </c>
      <c r="D41" s="43">
        <f t="shared" si="11"/>
        <v>1155</v>
      </c>
      <c r="E41" s="43">
        <f t="shared" si="11"/>
        <v>1579</v>
      </c>
    </row>
    <row r="42" spans="1:7" x14ac:dyDescent="0.25">
      <c r="A42" s="48" t="s">
        <v>58</v>
      </c>
      <c r="B42" s="42">
        <f t="shared" si="12"/>
        <v>2320</v>
      </c>
      <c r="C42" s="43">
        <f t="shared" ref="C42" si="23">+C93+C150</f>
        <v>95</v>
      </c>
      <c r="D42" s="43">
        <f t="shared" si="11"/>
        <v>998</v>
      </c>
      <c r="E42" s="43">
        <f t="shared" si="11"/>
        <v>1227</v>
      </c>
    </row>
    <row r="43" spans="1:7" x14ac:dyDescent="0.25">
      <c r="A43" s="48" t="s">
        <v>59</v>
      </c>
      <c r="B43" s="42">
        <f t="shared" si="12"/>
        <v>3963</v>
      </c>
      <c r="C43" s="43">
        <f t="shared" ref="C43" si="24">+C94+C151</f>
        <v>147</v>
      </c>
      <c r="D43" s="43">
        <f t="shared" si="11"/>
        <v>1773</v>
      </c>
      <c r="E43" s="43">
        <f t="shared" si="11"/>
        <v>2043</v>
      </c>
      <c r="G43" s="69">
        <f>SUM(B31:B43)</f>
        <v>56291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30"/>
      <c r="B46" s="30"/>
      <c r="C46" s="40"/>
      <c r="D46" s="40"/>
      <c r="E46" s="40"/>
    </row>
    <row r="47" spans="1:7" x14ac:dyDescent="0.25">
      <c r="A47" s="30"/>
      <c r="B47" s="30"/>
      <c r="C47" s="40"/>
      <c r="D47" s="40"/>
      <c r="E47" s="40"/>
    </row>
    <row r="48" spans="1:7" x14ac:dyDescent="0.25">
      <c r="A48" s="30"/>
      <c r="B48" s="30"/>
      <c r="C48" s="40"/>
      <c r="D48" s="40"/>
      <c r="E48" s="40"/>
    </row>
    <row r="49" spans="1:7" x14ac:dyDescent="0.25">
      <c r="A49" s="30"/>
      <c r="B49" s="30"/>
      <c r="C49" s="40"/>
      <c r="D49" s="40"/>
      <c r="E49" s="40"/>
    </row>
    <row r="50" spans="1:7" x14ac:dyDescent="0.25">
      <c r="A50" s="30"/>
      <c r="B50" s="30"/>
      <c r="C50" s="40"/>
      <c r="D50" s="40"/>
      <c r="E50" s="40"/>
    </row>
    <row r="51" spans="1:7" x14ac:dyDescent="0.25">
      <c r="A51" s="30"/>
      <c r="B51" s="30"/>
      <c r="C51" s="40"/>
      <c r="D51" s="40"/>
      <c r="E51" s="40"/>
    </row>
    <row r="52" spans="1:7" x14ac:dyDescent="0.25">
      <c r="A52" s="30"/>
      <c r="B52" s="30"/>
      <c r="C52" s="40"/>
      <c r="D52" s="40"/>
      <c r="E52" s="40"/>
    </row>
    <row r="53" spans="1:7" x14ac:dyDescent="0.25">
      <c r="A53" s="30"/>
      <c r="B53" s="30"/>
      <c r="C53" s="40"/>
      <c r="D53" s="40"/>
      <c r="E53" s="40"/>
    </row>
    <row r="54" spans="1:7" x14ac:dyDescent="0.25">
      <c r="A54" s="30"/>
      <c r="B54" s="30"/>
      <c r="C54" s="40"/>
      <c r="D54" s="40"/>
      <c r="E54" s="40"/>
    </row>
    <row r="55" spans="1:7" x14ac:dyDescent="0.25">
      <c r="A55" s="30"/>
      <c r="B55" s="30"/>
      <c r="C55" s="40"/>
      <c r="D55" s="40"/>
      <c r="E55" s="40"/>
    </row>
    <row r="56" spans="1:7" ht="17.399999999999999" x14ac:dyDescent="0.3">
      <c r="A56" s="83" t="s">
        <v>114</v>
      </c>
      <c r="B56" s="84"/>
      <c r="C56" s="84"/>
      <c r="D56" s="84"/>
      <c r="E56" s="84"/>
    </row>
    <row r="57" spans="1:7" ht="13.8" thickBot="1" x14ac:dyDescent="0.3">
      <c r="A57" s="52"/>
      <c r="B57" s="30"/>
      <c r="C57" s="40"/>
      <c r="D57" s="40"/>
      <c r="E57" s="40"/>
    </row>
    <row r="58" spans="1:7" ht="13.8" thickBot="1" x14ac:dyDescent="0.3">
      <c r="A58" s="37" t="s">
        <v>61</v>
      </c>
      <c r="B58" s="38">
        <f>+C58+D58+E58</f>
        <v>41070</v>
      </c>
      <c r="C58" s="39">
        <f>+C61+C73+C81+C59</f>
        <v>1610</v>
      </c>
      <c r="D58" s="39">
        <f>+D61+D73+D81+D59</f>
        <v>17626</v>
      </c>
      <c r="E58" s="39">
        <f>+E61+E73+E81</f>
        <v>21834</v>
      </c>
    </row>
    <row r="59" spans="1:7" x14ac:dyDescent="0.25">
      <c r="A59" s="44" t="s">
        <v>62</v>
      </c>
      <c r="B59" s="42">
        <f>+C59+D59+E59</f>
        <v>62</v>
      </c>
      <c r="C59" s="43">
        <v>0</v>
      </c>
      <c r="D59" s="43">
        <v>50</v>
      </c>
      <c r="E59" s="43">
        <v>12</v>
      </c>
      <c r="G59" s="69">
        <f>+B58+B59</f>
        <v>41132</v>
      </c>
    </row>
    <row r="60" spans="1:7" ht="13.8" thickBot="1" x14ac:dyDescent="0.3">
      <c r="A60" s="30"/>
      <c r="B60" s="30"/>
      <c r="C60" s="40"/>
      <c r="D60" s="40"/>
      <c r="E60" s="40"/>
    </row>
    <row r="61" spans="1:7" ht="13.8" thickBot="1" x14ac:dyDescent="0.3">
      <c r="A61" s="37" t="s">
        <v>28</v>
      </c>
      <c r="B61" s="38">
        <f>+C61+D61+E61</f>
        <v>4121</v>
      </c>
      <c r="C61" s="39">
        <f>SUM(C62:C71)</f>
        <v>193</v>
      </c>
      <c r="D61" s="39">
        <f>SUM(D62:D71)</f>
        <v>1808</v>
      </c>
      <c r="E61" s="39">
        <f>SUM(E62:E71)</f>
        <v>2120</v>
      </c>
    </row>
    <row r="62" spans="1:7" x14ac:dyDescent="0.25">
      <c r="A62" s="44" t="s">
        <v>30</v>
      </c>
      <c r="B62" s="42">
        <f>+C62+D62+E62</f>
        <v>286</v>
      </c>
      <c r="C62" s="45">
        <v>14</v>
      </c>
      <c r="D62" s="45">
        <v>115</v>
      </c>
      <c r="E62" s="45">
        <v>157</v>
      </c>
    </row>
    <row r="63" spans="1:7" x14ac:dyDescent="0.25">
      <c r="A63" s="41" t="s">
        <v>31</v>
      </c>
      <c r="B63" s="42">
        <f t="shared" ref="B63:B71" si="25">+C63+D63+E63</f>
        <v>343</v>
      </c>
      <c r="C63" s="45">
        <v>17</v>
      </c>
      <c r="D63" s="45">
        <v>140</v>
      </c>
      <c r="E63" s="45">
        <v>186</v>
      </c>
    </row>
    <row r="64" spans="1:7" x14ac:dyDescent="0.25">
      <c r="A64" s="44" t="s">
        <v>32</v>
      </c>
      <c r="B64" s="42">
        <f t="shared" si="25"/>
        <v>333</v>
      </c>
      <c r="C64" s="45">
        <v>21</v>
      </c>
      <c r="D64" s="45">
        <v>139</v>
      </c>
      <c r="E64" s="45">
        <v>173</v>
      </c>
    </row>
    <row r="65" spans="1:7" x14ac:dyDescent="0.25">
      <c r="A65" s="44" t="s">
        <v>33</v>
      </c>
      <c r="B65" s="42">
        <f t="shared" si="25"/>
        <v>405</v>
      </c>
      <c r="C65" s="45">
        <v>27</v>
      </c>
      <c r="D65" s="45">
        <v>179</v>
      </c>
      <c r="E65" s="45">
        <v>199</v>
      </c>
    </row>
    <row r="66" spans="1:7" x14ac:dyDescent="0.25">
      <c r="A66" s="44" t="s">
        <v>34</v>
      </c>
      <c r="B66" s="42">
        <f t="shared" si="25"/>
        <v>416</v>
      </c>
      <c r="C66" s="45">
        <v>25</v>
      </c>
      <c r="D66" s="45">
        <v>188</v>
      </c>
      <c r="E66" s="45">
        <v>203</v>
      </c>
    </row>
    <row r="67" spans="1:7" x14ac:dyDescent="0.25">
      <c r="A67" s="44" t="s">
        <v>35</v>
      </c>
      <c r="B67" s="42">
        <f t="shared" si="25"/>
        <v>436</v>
      </c>
      <c r="C67" s="45">
        <v>17</v>
      </c>
      <c r="D67" s="45">
        <v>189</v>
      </c>
      <c r="E67" s="45">
        <v>230</v>
      </c>
    </row>
    <row r="68" spans="1:7" x14ac:dyDescent="0.25">
      <c r="A68" s="44" t="s">
        <v>36</v>
      </c>
      <c r="B68" s="42">
        <f t="shared" si="25"/>
        <v>435</v>
      </c>
      <c r="C68" s="45">
        <v>16</v>
      </c>
      <c r="D68" s="45">
        <v>199</v>
      </c>
      <c r="E68" s="45">
        <v>220</v>
      </c>
    </row>
    <row r="69" spans="1:7" x14ac:dyDescent="0.25">
      <c r="A69" s="44" t="s">
        <v>37</v>
      </c>
      <c r="B69" s="42">
        <f t="shared" si="25"/>
        <v>435</v>
      </c>
      <c r="C69" s="45">
        <v>17</v>
      </c>
      <c r="D69" s="45">
        <v>185</v>
      </c>
      <c r="E69" s="45">
        <v>233</v>
      </c>
    </row>
    <row r="70" spans="1:7" x14ac:dyDescent="0.25">
      <c r="A70" s="44" t="s">
        <v>38</v>
      </c>
      <c r="B70" s="42">
        <f t="shared" si="25"/>
        <v>507</v>
      </c>
      <c r="C70" s="45">
        <v>19</v>
      </c>
      <c r="D70" s="45">
        <v>229</v>
      </c>
      <c r="E70" s="45">
        <v>259</v>
      </c>
    </row>
    <row r="71" spans="1:7" x14ac:dyDescent="0.25">
      <c r="A71" s="44" t="s">
        <v>39</v>
      </c>
      <c r="B71" s="42">
        <f t="shared" si="25"/>
        <v>525</v>
      </c>
      <c r="C71" s="45">
        <v>20</v>
      </c>
      <c r="D71" s="45">
        <v>245</v>
      </c>
      <c r="E71" s="45">
        <v>260</v>
      </c>
      <c r="G71" s="69">
        <f>SUM(B62:B71)</f>
        <v>4121</v>
      </c>
    </row>
    <row r="72" spans="1:7" ht="13.8" thickBot="1" x14ac:dyDescent="0.3">
      <c r="A72" s="46"/>
      <c r="B72" s="30"/>
      <c r="C72" s="40"/>
      <c r="D72" s="40"/>
      <c r="E72" s="40"/>
    </row>
    <row r="73" spans="1:7" ht="13.8" thickBot="1" x14ac:dyDescent="0.3">
      <c r="A73" s="37" t="s">
        <v>40</v>
      </c>
      <c r="B73" s="38">
        <f>+C73+D73+E73</f>
        <v>4396</v>
      </c>
      <c r="C73" s="39">
        <f>SUM(C74:C79)</f>
        <v>195</v>
      </c>
      <c r="D73" s="39">
        <f>SUM(D74:D79)</f>
        <v>1858</v>
      </c>
      <c r="E73" s="39">
        <f>SUM(E74:E79)</f>
        <v>2343</v>
      </c>
    </row>
    <row r="74" spans="1:7" x14ac:dyDescent="0.25">
      <c r="A74" s="41" t="s">
        <v>41</v>
      </c>
      <c r="B74" s="42">
        <f>+C74+D74+E74</f>
        <v>465</v>
      </c>
      <c r="C74" s="43">
        <v>24</v>
      </c>
      <c r="D74" s="43">
        <v>219</v>
      </c>
      <c r="E74" s="43">
        <v>222</v>
      </c>
    </row>
    <row r="75" spans="1:7" x14ac:dyDescent="0.25">
      <c r="A75" s="41" t="s">
        <v>42</v>
      </c>
      <c r="B75" s="42">
        <f t="shared" ref="B75:B79" si="26">+C75+D75+E75</f>
        <v>434</v>
      </c>
      <c r="C75" s="45">
        <v>22</v>
      </c>
      <c r="D75" s="45">
        <v>182</v>
      </c>
      <c r="E75" s="45">
        <v>230</v>
      </c>
    </row>
    <row r="76" spans="1:7" x14ac:dyDescent="0.25">
      <c r="A76" s="41" t="s">
        <v>43</v>
      </c>
      <c r="B76" s="42">
        <f t="shared" si="26"/>
        <v>452</v>
      </c>
      <c r="C76" s="45">
        <v>22</v>
      </c>
      <c r="D76" s="45">
        <v>176</v>
      </c>
      <c r="E76" s="45">
        <v>254</v>
      </c>
    </row>
    <row r="77" spans="1:7" x14ac:dyDescent="0.25">
      <c r="A77" s="41" t="s">
        <v>44</v>
      </c>
      <c r="B77" s="42">
        <f t="shared" si="26"/>
        <v>442</v>
      </c>
      <c r="C77" s="45">
        <v>19</v>
      </c>
      <c r="D77" s="45">
        <v>202</v>
      </c>
      <c r="E77" s="45">
        <v>221</v>
      </c>
    </row>
    <row r="78" spans="1:7" x14ac:dyDescent="0.25">
      <c r="A78" s="41" t="s">
        <v>45</v>
      </c>
      <c r="B78" s="42">
        <f t="shared" si="26"/>
        <v>468</v>
      </c>
      <c r="C78" s="45">
        <v>19</v>
      </c>
      <c r="D78" s="45">
        <v>209</v>
      </c>
      <c r="E78" s="45">
        <v>240</v>
      </c>
    </row>
    <row r="79" spans="1:7" x14ac:dyDescent="0.25">
      <c r="A79" s="44" t="s">
        <v>46</v>
      </c>
      <c r="B79" s="42">
        <f t="shared" si="26"/>
        <v>2135</v>
      </c>
      <c r="C79" s="45">
        <v>89</v>
      </c>
      <c r="D79" s="45">
        <v>870</v>
      </c>
      <c r="E79" s="45">
        <v>1176</v>
      </c>
      <c r="G79" s="69">
        <f>SUM(B74:B79)</f>
        <v>4396</v>
      </c>
    </row>
    <row r="80" spans="1:7" ht="13.8" thickBot="1" x14ac:dyDescent="0.3">
      <c r="A80" s="47"/>
      <c r="B80" s="30"/>
      <c r="C80" s="40"/>
      <c r="D80" s="40"/>
      <c r="E80" s="40"/>
    </row>
    <row r="81" spans="1:7" ht="13.8" thickBot="1" x14ac:dyDescent="0.3">
      <c r="A81" s="37" t="s">
        <v>47</v>
      </c>
      <c r="B81" s="38">
        <f>+C81+D81+E81</f>
        <v>32503</v>
      </c>
      <c r="C81" s="39">
        <f>SUM(C82:C94)</f>
        <v>1222</v>
      </c>
      <c r="D81" s="39">
        <f>SUM(D82:D94)</f>
        <v>13910</v>
      </c>
      <c r="E81" s="39">
        <f>SUM(E82:E94)</f>
        <v>17371</v>
      </c>
    </row>
    <row r="82" spans="1:7" x14ac:dyDescent="0.25">
      <c r="A82" s="48" t="s">
        <v>21</v>
      </c>
      <c r="B82" s="42">
        <f>+C82+D82+E82</f>
        <v>2493</v>
      </c>
      <c r="C82" s="43">
        <v>105</v>
      </c>
      <c r="D82" s="43">
        <v>1053</v>
      </c>
      <c r="E82" s="43">
        <v>1335</v>
      </c>
    </row>
    <row r="83" spans="1:7" x14ac:dyDescent="0.25">
      <c r="A83" s="48" t="s">
        <v>48</v>
      </c>
      <c r="B83" s="42">
        <f t="shared" ref="B83:B94" si="27">+C83+D83+E83</f>
        <v>3332</v>
      </c>
      <c r="C83" s="45">
        <v>134</v>
      </c>
      <c r="D83" s="45">
        <v>1493</v>
      </c>
      <c r="E83" s="45">
        <v>1705</v>
      </c>
    </row>
    <row r="84" spans="1:7" x14ac:dyDescent="0.25">
      <c r="A84" s="48" t="s">
        <v>49</v>
      </c>
      <c r="B84" s="42">
        <f t="shared" si="27"/>
        <v>3588</v>
      </c>
      <c r="C84" s="45">
        <v>139</v>
      </c>
      <c r="D84" s="45">
        <v>1620</v>
      </c>
      <c r="E84" s="45">
        <v>1829</v>
      </c>
    </row>
    <row r="85" spans="1:7" x14ac:dyDescent="0.25">
      <c r="A85" s="48" t="s">
        <v>50</v>
      </c>
      <c r="B85" s="42">
        <f t="shared" si="27"/>
        <v>3111</v>
      </c>
      <c r="C85" s="45">
        <v>129</v>
      </c>
      <c r="D85" s="45">
        <v>1345</v>
      </c>
      <c r="E85" s="45">
        <v>1637</v>
      </c>
    </row>
    <row r="86" spans="1:7" x14ac:dyDescent="0.25">
      <c r="A86" s="48" t="s">
        <v>51</v>
      </c>
      <c r="B86" s="42">
        <f t="shared" si="27"/>
        <v>2761</v>
      </c>
      <c r="C86" s="45">
        <v>103</v>
      </c>
      <c r="D86" s="45">
        <v>1211</v>
      </c>
      <c r="E86" s="45">
        <v>1447</v>
      </c>
    </row>
    <row r="87" spans="1:7" x14ac:dyDescent="0.25">
      <c r="A87" s="48" t="s">
        <v>52</v>
      </c>
      <c r="B87" s="42">
        <f t="shared" si="27"/>
        <v>2318</v>
      </c>
      <c r="C87" s="45">
        <v>74</v>
      </c>
      <c r="D87" s="45">
        <v>977</v>
      </c>
      <c r="E87" s="45">
        <v>1267</v>
      </c>
    </row>
    <row r="88" spans="1:7" x14ac:dyDescent="0.25">
      <c r="A88" s="48" t="s">
        <v>53</v>
      </c>
      <c r="B88" s="42">
        <f t="shared" si="27"/>
        <v>2363</v>
      </c>
      <c r="C88" s="45">
        <v>85</v>
      </c>
      <c r="D88" s="45">
        <v>1005</v>
      </c>
      <c r="E88" s="45">
        <v>1273</v>
      </c>
    </row>
    <row r="89" spans="1:7" x14ac:dyDescent="0.25">
      <c r="A89" s="48" t="s">
        <v>54</v>
      </c>
      <c r="B89" s="42">
        <f t="shared" si="27"/>
        <v>2397</v>
      </c>
      <c r="C89" s="45">
        <v>92</v>
      </c>
      <c r="D89" s="45">
        <v>1030</v>
      </c>
      <c r="E89" s="45">
        <v>1275</v>
      </c>
    </row>
    <row r="90" spans="1:7" x14ac:dyDescent="0.25">
      <c r="A90" s="48" t="s">
        <v>55</v>
      </c>
      <c r="B90" s="42">
        <f t="shared" si="27"/>
        <v>2427</v>
      </c>
      <c r="C90" s="45">
        <v>91</v>
      </c>
      <c r="D90" s="45">
        <v>972</v>
      </c>
      <c r="E90" s="45">
        <v>1364</v>
      </c>
    </row>
    <row r="91" spans="1:7" x14ac:dyDescent="0.25">
      <c r="A91" s="49" t="s">
        <v>56</v>
      </c>
      <c r="B91" s="42">
        <f t="shared" si="27"/>
        <v>2068</v>
      </c>
      <c r="C91" s="45">
        <v>68</v>
      </c>
      <c r="D91" s="45">
        <v>858</v>
      </c>
      <c r="E91" s="45">
        <v>1142</v>
      </c>
    </row>
    <row r="92" spans="1:7" x14ac:dyDescent="0.25">
      <c r="A92" s="48" t="s">
        <v>57</v>
      </c>
      <c r="B92" s="42">
        <f t="shared" si="27"/>
        <v>1707</v>
      </c>
      <c r="C92" s="45">
        <v>55</v>
      </c>
      <c r="D92" s="45">
        <v>716</v>
      </c>
      <c r="E92" s="45">
        <v>936</v>
      </c>
    </row>
    <row r="93" spans="1:7" x14ac:dyDescent="0.25">
      <c r="A93" s="48" t="s">
        <v>58</v>
      </c>
      <c r="B93" s="42">
        <f t="shared" si="27"/>
        <v>1417</v>
      </c>
      <c r="C93" s="45">
        <v>56</v>
      </c>
      <c r="D93" s="45">
        <v>583</v>
      </c>
      <c r="E93" s="45">
        <v>778</v>
      </c>
    </row>
    <row r="94" spans="1:7" x14ac:dyDescent="0.25">
      <c r="A94" s="48" t="s">
        <v>59</v>
      </c>
      <c r="B94" s="42">
        <f t="shared" si="27"/>
        <v>2521</v>
      </c>
      <c r="C94" s="45">
        <v>91</v>
      </c>
      <c r="D94" s="45">
        <v>1047</v>
      </c>
      <c r="E94" s="45">
        <v>1383</v>
      </c>
      <c r="G94" s="69">
        <f>SUM(B82:B94)</f>
        <v>32503</v>
      </c>
    </row>
    <row r="113" spans="1:7" ht="17.399999999999999" x14ac:dyDescent="0.3">
      <c r="A113" s="83" t="s">
        <v>115</v>
      </c>
      <c r="B113" s="84"/>
      <c r="C113" s="84"/>
      <c r="D113" s="84"/>
      <c r="E113" s="84"/>
    </row>
    <row r="114" spans="1:7" ht="13.8" thickBot="1" x14ac:dyDescent="0.3">
      <c r="A114" s="52"/>
      <c r="B114" s="30"/>
      <c r="C114" s="40"/>
      <c r="D114" s="40"/>
      <c r="E114" s="40"/>
    </row>
    <row r="115" spans="1:7" ht="13.8" thickBot="1" x14ac:dyDescent="0.3">
      <c r="A115" s="37" t="s">
        <v>64</v>
      </c>
      <c r="B115" s="38">
        <f>+C115+D115+E115</f>
        <v>32650</v>
      </c>
      <c r="C115" s="39">
        <f>+C118+C130+C138+C116</f>
        <v>1317</v>
      </c>
      <c r="D115" s="39">
        <f>+D118+D130+D138+D116</f>
        <v>14748</v>
      </c>
      <c r="E115" s="39">
        <f>+E118+E130+E138</f>
        <v>16585</v>
      </c>
    </row>
    <row r="116" spans="1:7" x14ac:dyDescent="0.25">
      <c r="A116" s="44" t="s">
        <v>62</v>
      </c>
      <c r="B116" s="42">
        <f>+C116+D116+E116</f>
        <v>134</v>
      </c>
      <c r="C116" s="43">
        <v>1</v>
      </c>
      <c r="D116" s="43">
        <v>118</v>
      </c>
      <c r="E116" s="43">
        <v>15</v>
      </c>
      <c r="G116" s="69">
        <f>+B115+B116</f>
        <v>32784</v>
      </c>
    </row>
    <row r="117" spans="1:7" ht="13.8" thickBot="1" x14ac:dyDescent="0.3">
      <c r="A117" s="30"/>
      <c r="B117" s="30"/>
      <c r="C117" s="40"/>
      <c r="D117" s="40"/>
      <c r="E117" s="40"/>
    </row>
    <row r="118" spans="1:7" ht="13.8" thickBot="1" x14ac:dyDescent="0.3">
      <c r="A118" s="37" t="s">
        <v>28</v>
      </c>
      <c r="B118" s="38">
        <f>+C118+D118+E118</f>
        <v>4288</v>
      </c>
      <c r="C118" s="39">
        <f>SUM(C119:C128)</f>
        <v>201</v>
      </c>
      <c r="D118" s="39">
        <f>SUM(D119:D128)</f>
        <v>1888</v>
      </c>
      <c r="E118" s="39">
        <f>SUM(E119:E128)</f>
        <v>2199</v>
      </c>
    </row>
    <row r="119" spans="1:7" x14ac:dyDescent="0.25">
      <c r="A119" s="44" t="s">
        <v>30</v>
      </c>
      <c r="B119" s="42">
        <f t="shared" ref="B119:B129" si="28">+C119+D119+E119</f>
        <v>329</v>
      </c>
      <c r="C119" s="45">
        <v>12</v>
      </c>
      <c r="D119" s="45">
        <v>129</v>
      </c>
      <c r="E119" s="45">
        <v>188</v>
      </c>
    </row>
    <row r="120" spans="1:7" x14ac:dyDescent="0.25">
      <c r="A120" s="41" t="s">
        <v>31</v>
      </c>
      <c r="B120" s="42">
        <f t="shared" si="28"/>
        <v>350</v>
      </c>
      <c r="C120" s="45">
        <v>18</v>
      </c>
      <c r="D120" s="45">
        <v>150</v>
      </c>
      <c r="E120" s="45">
        <v>182</v>
      </c>
    </row>
    <row r="121" spans="1:7" x14ac:dyDescent="0.25">
      <c r="A121" s="44" t="s">
        <v>32</v>
      </c>
      <c r="B121" s="42">
        <f t="shared" si="28"/>
        <v>366</v>
      </c>
      <c r="C121" s="45">
        <v>18</v>
      </c>
      <c r="D121" s="45">
        <v>162</v>
      </c>
      <c r="E121" s="45">
        <v>186</v>
      </c>
    </row>
    <row r="122" spans="1:7" x14ac:dyDescent="0.25">
      <c r="A122" s="44" t="s">
        <v>33</v>
      </c>
      <c r="B122" s="42">
        <f t="shared" si="28"/>
        <v>410</v>
      </c>
      <c r="C122" s="45">
        <v>19</v>
      </c>
      <c r="D122" s="45">
        <v>197</v>
      </c>
      <c r="E122" s="45">
        <v>194</v>
      </c>
    </row>
    <row r="123" spans="1:7" x14ac:dyDescent="0.25">
      <c r="A123" s="44" t="s">
        <v>34</v>
      </c>
      <c r="B123" s="42">
        <f t="shared" si="28"/>
        <v>467</v>
      </c>
      <c r="C123" s="45">
        <v>24</v>
      </c>
      <c r="D123" s="45">
        <v>222</v>
      </c>
      <c r="E123" s="45">
        <v>221</v>
      </c>
    </row>
    <row r="124" spans="1:7" x14ac:dyDescent="0.25">
      <c r="A124" s="44" t="s">
        <v>35</v>
      </c>
      <c r="B124" s="42">
        <f t="shared" si="28"/>
        <v>461</v>
      </c>
      <c r="C124" s="45">
        <v>26</v>
      </c>
      <c r="D124" s="45">
        <v>207</v>
      </c>
      <c r="E124" s="45">
        <v>228</v>
      </c>
    </row>
    <row r="125" spans="1:7" x14ac:dyDescent="0.25">
      <c r="A125" s="44" t="s">
        <v>36</v>
      </c>
      <c r="B125" s="42">
        <f t="shared" si="28"/>
        <v>435</v>
      </c>
      <c r="C125" s="45">
        <v>17</v>
      </c>
      <c r="D125" s="45">
        <v>184</v>
      </c>
      <c r="E125" s="45">
        <v>234</v>
      </c>
    </row>
    <row r="126" spans="1:7" x14ac:dyDescent="0.25">
      <c r="A126" s="44" t="s">
        <v>37</v>
      </c>
      <c r="B126" s="42">
        <f t="shared" si="28"/>
        <v>482</v>
      </c>
      <c r="C126" s="45">
        <v>23</v>
      </c>
      <c r="D126" s="45">
        <v>224</v>
      </c>
      <c r="E126" s="45">
        <v>235</v>
      </c>
    </row>
    <row r="127" spans="1:7" x14ac:dyDescent="0.25">
      <c r="A127" s="44" t="s">
        <v>38</v>
      </c>
      <c r="B127" s="42">
        <f t="shared" si="28"/>
        <v>498</v>
      </c>
      <c r="C127" s="45">
        <v>27</v>
      </c>
      <c r="D127" s="45">
        <v>215</v>
      </c>
      <c r="E127" s="45">
        <v>256</v>
      </c>
    </row>
    <row r="128" spans="1:7" x14ac:dyDescent="0.25">
      <c r="A128" s="44" t="s">
        <v>39</v>
      </c>
      <c r="B128" s="42">
        <f t="shared" si="28"/>
        <v>490</v>
      </c>
      <c r="C128" s="45">
        <v>17</v>
      </c>
      <c r="D128" s="45">
        <v>198</v>
      </c>
      <c r="E128" s="45">
        <v>275</v>
      </c>
      <c r="G128" s="69">
        <f>SUM(B119:B128)</f>
        <v>4288</v>
      </c>
    </row>
    <row r="129" spans="1:7" ht="13.8" thickBot="1" x14ac:dyDescent="0.3">
      <c r="A129" s="46"/>
      <c r="B129" s="30">
        <f t="shared" si="28"/>
        <v>0</v>
      </c>
      <c r="C129" s="40"/>
      <c r="D129" s="40"/>
      <c r="E129" s="40"/>
    </row>
    <row r="130" spans="1:7" ht="13.8" thickBot="1" x14ac:dyDescent="0.3">
      <c r="A130" s="37" t="s">
        <v>40</v>
      </c>
      <c r="B130" s="38">
        <f>+C130+D130+E130</f>
        <v>4455</v>
      </c>
      <c r="C130" s="39">
        <f>SUM(C131:C136)</f>
        <v>195</v>
      </c>
      <c r="D130" s="39">
        <f t="shared" ref="D130:E130" si="29">SUM(D131:D136)</f>
        <v>1976</v>
      </c>
      <c r="E130" s="39">
        <f t="shared" si="29"/>
        <v>2284</v>
      </c>
    </row>
    <row r="131" spans="1:7" x14ac:dyDescent="0.25">
      <c r="A131" s="41" t="s">
        <v>41</v>
      </c>
      <c r="B131" s="42">
        <f t="shared" ref="B131:B136" si="30">+C131+D131+E131</f>
        <v>466</v>
      </c>
      <c r="C131" s="43">
        <v>18</v>
      </c>
      <c r="D131" s="43">
        <v>219</v>
      </c>
      <c r="E131" s="43">
        <v>229</v>
      </c>
    </row>
    <row r="132" spans="1:7" x14ac:dyDescent="0.25">
      <c r="A132" s="41" t="s">
        <v>42</v>
      </c>
      <c r="B132" s="42">
        <f t="shared" si="30"/>
        <v>462</v>
      </c>
      <c r="C132" s="45">
        <v>12</v>
      </c>
      <c r="D132" s="45">
        <v>187</v>
      </c>
      <c r="E132" s="45">
        <v>263</v>
      </c>
    </row>
    <row r="133" spans="1:7" x14ac:dyDescent="0.25">
      <c r="A133" s="41" t="s">
        <v>43</v>
      </c>
      <c r="B133" s="42">
        <f t="shared" si="30"/>
        <v>437</v>
      </c>
      <c r="C133" s="45">
        <v>27</v>
      </c>
      <c r="D133" s="45">
        <v>202</v>
      </c>
      <c r="E133" s="45">
        <v>208</v>
      </c>
    </row>
    <row r="134" spans="1:7" x14ac:dyDescent="0.25">
      <c r="A134" s="41" t="s">
        <v>44</v>
      </c>
      <c r="B134" s="42">
        <f t="shared" si="30"/>
        <v>499</v>
      </c>
      <c r="C134" s="45">
        <v>22</v>
      </c>
      <c r="D134" s="45">
        <v>220</v>
      </c>
      <c r="E134" s="45">
        <v>257</v>
      </c>
    </row>
    <row r="135" spans="1:7" x14ac:dyDescent="0.25">
      <c r="A135" s="41" t="s">
        <v>45</v>
      </c>
      <c r="B135" s="42">
        <f t="shared" si="30"/>
        <v>497</v>
      </c>
      <c r="C135" s="45">
        <v>26</v>
      </c>
      <c r="D135" s="45">
        <v>201</v>
      </c>
      <c r="E135" s="45">
        <v>270</v>
      </c>
    </row>
    <row r="136" spans="1:7" x14ac:dyDescent="0.25">
      <c r="A136" s="44" t="s">
        <v>46</v>
      </c>
      <c r="B136" s="42">
        <f t="shared" si="30"/>
        <v>2094</v>
      </c>
      <c r="C136" s="45">
        <v>90</v>
      </c>
      <c r="D136" s="45">
        <v>947</v>
      </c>
      <c r="E136" s="45">
        <v>1057</v>
      </c>
      <c r="G136" s="69">
        <f>SUM(B131:B136)</f>
        <v>4455</v>
      </c>
    </row>
    <row r="137" spans="1:7" ht="13.8" thickBot="1" x14ac:dyDescent="0.3">
      <c r="A137" s="47"/>
      <c r="B137" s="30"/>
      <c r="C137" s="40"/>
      <c r="D137" s="40"/>
      <c r="E137" s="40"/>
    </row>
    <row r="138" spans="1:7" ht="13.8" thickBot="1" x14ac:dyDescent="0.3">
      <c r="A138" s="37" t="s">
        <v>47</v>
      </c>
      <c r="B138" s="38">
        <f>+C138+D138+E138</f>
        <v>23788</v>
      </c>
      <c r="C138" s="39">
        <f>SUM(C139:C151)</f>
        <v>920</v>
      </c>
      <c r="D138" s="39">
        <f t="shared" ref="D138:E138" si="31">SUM(D139:D151)</f>
        <v>10766</v>
      </c>
      <c r="E138" s="39">
        <f t="shared" si="31"/>
        <v>12102</v>
      </c>
    </row>
    <row r="139" spans="1:7" x14ac:dyDescent="0.25">
      <c r="A139" s="48" t="s">
        <v>21</v>
      </c>
      <c r="B139" s="42">
        <f>+C139+D139+E139</f>
        <v>2138</v>
      </c>
      <c r="C139" s="43">
        <v>78</v>
      </c>
      <c r="D139" s="43">
        <v>977</v>
      </c>
      <c r="E139" s="43">
        <v>1083</v>
      </c>
    </row>
    <row r="140" spans="1:7" x14ac:dyDescent="0.25">
      <c r="A140" s="48" t="s">
        <v>48</v>
      </c>
      <c r="B140" s="42">
        <f t="shared" ref="B140:B151" si="32">+C140+D140+E140</f>
        <v>2523</v>
      </c>
      <c r="C140" s="45">
        <v>70</v>
      </c>
      <c r="D140" s="45">
        <v>1232</v>
      </c>
      <c r="E140" s="45">
        <v>1221</v>
      </c>
    </row>
    <row r="141" spans="1:7" x14ac:dyDescent="0.25">
      <c r="A141" s="48" t="s">
        <v>49</v>
      </c>
      <c r="B141" s="42">
        <f t="shared" si="32"/>
        <v>2574</v>
      </c>
      <c r="C141" s="45">
        <v>92</v>
      </c>
      <c r="D141" s="45">
        <v>1250</v>
      </c>
      <c r="E141" s="45">
        <v>1232</v>
      </c>
    </row>
    <row r="142" spans="1:7" x14ac:dyDescent="0.25">
      <c r="A142" s="48" t="s">
        <v>50</v>
      </c>
      <c r="B142" s="42">
        <f t="shared" si="32"/>
        <v>2386</v>
      </c>
      <c r="C142" s="45">
        <v>100</v>
      </c>
      <c r="D142" s="45">
        <v>1120</v>
      </c>
      <c r="E142" s="45">
        <v>1166</v>
      </c>
    </row>
    <row r="143" spans="1:7" x14ac:dyDescent="0.25">
      <c r="A143" s="48" t="s">
        <v>51</v>
      </c>
      <c r="B143" s="42">
        <f t="shared" si="32"/>
        <v>2032</v>
      </c>
      <c r="C143" s="45">
        <v>82</v>
      </c>
      <c r="D143" s="45">
        <v>894</v>
      </c>
      <c r="E143" s="45">
        <v>1056</v>
      </c>
    </row>
    <row r="144" spans="1:7" x14ac:dyDescent="0.25">
      <c r="A144" s="48" t="s">
        <v>52</v>
      </c>
      <c r="B144" s="42">
        <f t="shared" si="32"/>
        <v>1736</v>
      </c>
      <c r="C144" s="45">
        <v>59</v>
      </c>
      <c r="D144" s="45">
        <v>766</v>
      </c>
      <c r="E144" s="45">
        <v>911</v>
      </c>
    </row>
    <row r="145" spans="1:7" x14ac:dyDescent="0.25">
      <c r="A145" s="48" t="s">
        <v>53</v>
      </c>
      <c r="B145" s="42">
        <f t="shared" si="32"/>
        <v>1789</v>
      </c>
      <c r="C145" s="45">
        <v>68</v>
      </c>
      <c r="D145" s="45">
        <v>789</v>
      </c>
      <c r="E145" s="45">
        <v>932</v>
      </c>
    </row>
    <row r="146" spans="1:7" x14ac:dyDescent="0.25">
      <c r="A146" s="48" t="s">
        <v>54</v>
      </c>
      <c r="B146" s="42">
        <f t="shared" si="32"/>
        <v>1735</v>
      </c>
      <c r="C146" s="45">
        <v>75</v>
      </c>
      <c r="D146" s="45">
        <v>738</v>
      </c>
      <c r="E146" s="45">
        <v>922</v>
      </c>
    </row>
    <row r="147" spans="1:7" x14ac:dyDescent="0.25">
      <c r="A147" s="48" t="s">
        <v>55</v>
      </c>
      <c r="B147" s="42">
        <f t="shared" si="32"/>
        <v>1863</v>
      </c>
      <c r="C147" s="45">
        <v>83</v>
      </c>
      <c r="D147" s="45">
        <v>763</v>
      </c>
      <c r="E147" s="45">
        <v>1017</v>
      </c>
    </row>
    <row r="148" spans="1:7" x14ac:dyDescent="0.25">
      <c r="A148" s="49" t="s">
        <v>56</v>
      </c>
      <c r="B148" s="42">
        <f t="shared" si="32"/>
        <v>1527</v>
      </c>
      <c r="C148" s="45">
        <v>60</v>
      </c>
      <c r="D148" s="45">
        <v>657</v>
      </c>
      <c r="E148" s="45">
        <v>810</v>
      </c>
    </row>
    <row r="149" spans="1:7" x14ac:dyDescent="0.25">
      <c r="A149" s="48" t="s">
        <v>57</v>
      </c>
      <c r="B149" s="42">
        <f t="shared" si="32"/>
        <v>1140</v>
      </c>
      <c r="C149" s="45">
        <v>58</v>
      </c>
      <c r="D149" s="45">
        <v>439</v>
      </c>
      <c r="E149" s="45">
        <v>643</v>
      </c>
    </row>
    <row r="150" spans="1:7" x14ac:dyDescent="0.25">
      <c r="A150" s="48" t="s">
        <v>58</v>
      </c>
      <c r="B150" s="42">
        <f t="shared" si="32"/>
        <v>903</v>
      </c>
      <c r="C150" s="45">
        <v>39</v>
      </c>
      <c r="D150" s="45">
        <v>415</v>
      </c>
      <c r="E150" s="45">
        <v>449</v>
      </c>
    </row>
    <row r="151" spans="1:7" x14ac:dyDescent="0.25">
      <c r="A151" s="48" t="s">
        <v>59</v>
      </c>
      <c r="B151" s="42">
        <f t="shared" si="32"/>
        <v>1442</v>
      </c>
      <c r="C151" s="45">
        <v>56</v>
      </c>
      <c r="D151" s="45">
        <v>726</v>
      </c>
      <c r="E151" s="45">
        <v>660</v>
      </c>
      <c r="G151" s="69">
        <f>SUM(B139:B151)</f>
        <v>23788</v>
      </c>
    </row>
  </sheetData>
  <mergeCells count="6">
    <mergeCell ref="A113:E113"/>
    <mergeCell ref="A1:G1"/>
    <mergeCell ref="B2:E2"/>
    <mergeCell ref="A3:E3"/>
    <mergeCell ref="C4:E4"/>
    <mergeCell ref="A56:E56"/>
  </mergeCells>
  <pageMargins left="0.70866141732283472" right="0.70866141732283472" top="0.74803149606299213" bottom="0.74803149606299213" header="0.31496062992125984" footer="0.31496062992125984"/>
  <pageSetup scale="95" fitToWidth="0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9790-6E50-4091-BD26-3145F9CA2437}">
  <dimension ref="A1:G125"/>
  <sheetViews>
    <sheetView workbookViewId="0">
      <selection activeCell="B2" sqref="B2:E2"/>
    </sheetView>
  </sheetViews>
  <sheetFormatPr baseColWidth="10" defaultRowHeight="13.2" x14ac:dyDescent="0.25"/>
  <cols>
    <col min="1" max="1" width="18.88671875" bestFit="1" customWidth="1"/>
    <col min="2" max="2" width="16.44140625" customWidth="1"/>
    <col min="4" max="4" width="19.6640625" customWidth="1"/>
    <col min="5" max="5" width="19.21875" customWidth="1"/>
  </cols>
  <sheetData>
    <row r="1" spans="1:7" ht="22.2" x14ac:dyDescent="0.25">
      <c r="A1" s="88" t="s">
        <v>118</v>
      </c>
      <c r="B1" s="88"/>
      <c r="C1" s="88"/>
      <c r="D1" s="88"/>
      <c r="E1" s="88"/>
      <c r="F1" s="88"/>
      <c r="G1" s="88"/>
    </row>
    <row r="2" spans="1:7" ht="22.8" x14ac:dyDescent="0.25">
      <c r="A2" s="30"/>
      <c r="B2" s="89" t="s">
        <v>113</v>
      </c>
      <c r="C2" s="89"/>
      <c r="D2" s="89"/>
      <c r="E2" s="89"/>
    </row>
    <row r="3" spans="1:7" ht="18" thickBot="1" x14ac:dyDescent="0.35">
      <c r="A3" s="85" t="s">
        <v>119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77246</v>
      </c>
      <c r="C6" s="74">
        <f>+C10+C22+C30</f>
        <v>3435</v>
      </c>
      <c r="D6" s="74">
        <f>+D10+D22+D30</f>
        <v>33505</v>
      </c>
      <c r="E6" s="74">
        <f>+E10+E22+E30</f>
        <v>40306</v>
      </c>
    </row>
    <row r="7" spans="1:7" ht="13.8" thickBot="1" x14ac:dyDescent="0.3">
      <c r="A7" s="41" t="s">
        <v>29</v>
      </c>
      <c r="B7" s="71">
        <f>+C7+D7+E7</f>
        <v>188</v>
      </c>
      <c r="C7" s="43">
        <f>+C49+C90</f>
        <v>1</v>
      </c>
      <c r="D7" s="43">
        <f>+D49+D90</f>
        <v>161</v>
      </c>
      <c r="E7" s="43">
        <f>+E49+E90</f>
        <v>26</v>
      </c>
      <c r="G7" s="69">
        <f>+B6+B7</f>
        <v>77434</v>
      </c>
    </row>
    <row r="8" spans="1:7" ht="18" thickBot="1" x14ac:dyDescent="0.5">
      <c r="A8" s="46"/>
      <c r="B8" s="75">
        <f>+B6+B7</f>
        <v>77434</v>
      </c>
      <c r="C8" s="75">
        <f>+C6+C7</f>
        <v>3436</v>
      </c>
      <c r="D8" s="75">
        <f>+D6+D7</f>
        <v>33666</v>
      </c>
      <c r="E8" s="75">
        <f>+E6+E7</f>
        <v>40332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8491</v>
      </c>
      <c r="C10" s="66">
        <f>SUM(C11:C20)</f>
        <v>441</v>
      </c>
      <c r="D10" s="67">
        <f>SUM(D11:D20)</f>
        <v>3688</v>
      </c>
      <c r="E10" s="68">
        <f>SUM(E11:E20)</f>
        <v>4362</v>
      </c>
    </row>
    <row r="11" spans="1:7" x14ac:dyDescent="0.25">
      <c r="A11" s="44" t="s">
        <v>30</v>
      </c>
      <c r="B11" s="65">
        <f>+C11+D11+E11</f>
        <v>526</v>
      </c>
      <c r="C11" s="43">
        <f t="shared" ref="C11:E20" si="0">+C52+C93</f>
        <v>24</v>
      </c>
      <c r="D11" s="43">
        <f t="shared" si="0"/>
        <v>216</v>
      </c>
      <c r="E11" s="43">
        <f t="shared" si="0"/>
        <v>286</v>
      </c>
    </row>
    <row r="12" spans="1:7" x14ac:dyDescent="0.25">
      <c r="A12" s="41" t="s">
        <v>31</v>
      </c>
      <c r="B12" s="65">
        <f t="shared" ref="B12:B20" si="1">+C12+D12+E12</f>
        <v>705</v>
      </c>
      <c r="C12" s="43">
        <f t="shared" si="0"/>
        <v>41</v>
      </c>
      <c r="D12" s="43">
        <f t="shared" si="0"/>
        <v>273</v>
      </c>
      <c r="E12" s="43">
        <f t="shared" si="0"/>
        <v>391</v>
      </c>
    </row>
    <row r="13" spans="1:7" x14ac:dyDescent="0.25">
      <c r="A13" s="44" t="s">
        <v>32</v>
      </c>
      <c r="B13" s="65">
        <f t="shared" si="1"/>
        <v>734</v>
      </c>
      <c r="C13" s="43">
        <f t="shared" si="0"/>
        <v>42</v>
      </c>
      <c r="D13" s="43">
        <f t="shared" si="0"/>
        <v>299</v>
      </c>
      <c r="E13" s="43">
        <f t="shared" si="0"/>
        <v>393</v>
      </c>
    </row>
    <row r="14" spans="1:7" x14ac:dyDescent="0.25">
      <c r="A14" s="44" t="s">
        <v>33</v>
      </c>
      <c r="B14" s="65">
        <f t="shared" si="1"/>
        <v>738</v>
      </c>
      <c r="C14" s="43">
        <f t="shared" si="0"/>
        <v>50</v>
      </c>
      <c r="D14" s="43">
        <f t="shared" si="0"/>
        <v>316</v>
      </c>
      <c r="E14" s="43">
        <f t="shared" si="0"/>
        <v>372</v>
      </c>
    </row>
    <row r="15" spans="1:7" x14ac:dyDescent="0.25">
      <c r="A15" s="44" t="s">
        <v>34</v>
      </c>
      <c r="B15" s="65">
        <f t="shared" si="1"/>
        <v>868</v>
      </c>
      <c r="C15" s="43">
        <f t="shared" si="0"/>
        <v>50</v>
      </c>
      <c r="D15" s="43">
        <f t="shared" si="0"/>
        <v>391</v>
      </c>
      <c r="E15" s="43">
        <f t="shared" si="0"/>
        <v>427</v>
      </c>
    </row>
    <row r="16" spans="1:7" x14ac:dyDescent="0.25">
      <c r="A16" s="44" t="s">
        <v>35</v>
      </c>
      <c r="B16" s="65">
        <f t="shared" si="1"/>
        <v>955</v>
      </c>
      <c r="C16" s="43">
        <f t="shared" si="0"/>
        <v>44</v>
      </c>
      <c r="D16" s="43">
        <f t="shared" si="0"/>
        <v>452</v>
      </c>
      <c r="E16" s="43">
        <f t="shared" si="0"/>
        <v>459</v>
      </c>
    </row>
    <row r="17" spans="1:7" x14ac:dyDescent="0.25">
      <c r="A17" s="44" t="s">
        <v>36</v>
      </c>
      <c r="B17" s="65">
        <f t="shared" si="1"/>
        <v>962</v>
      </c>
      <c r="C17" s="43">
        <f t="shared" si="0"/>
        <v>50</v>
      </c>
      <c r="D17" s="43">
        <f t="shared" si="0"/>
        <v>420</v>
      </c>
      <c r="E17" s="43">
        <f t="shared" si="0"/>
        <v>492</v>
      </c>
    </row>
    <row r="18" spans="1:7" x14ac:dyDescent="0.25">
      <c r="A18" s="44" t="s">
        <v>37</v>
      </c>
      <c r="B18" s="65">
        <f t="shared" si="1"/>
        <v>933</v>
      </c>
      <c r="C18" s="43">
        <f t="shared" si="0"/>
        <v>36</v>
      </c>
      <c r="D18" s="43">
        <f t="shared" si="0"/>
        <v>409</v>
      </c>
      <c r="E18" s="43">
        <f t="shared" si="0"/>
        <v>488</v>
      </c>
    </row>
    <row r="19" spans="1:7" x14ac:dyDescent="0.25">
      <c r="A19" s="44" t="s">
        <v>38</v>
      </c>
      <c r="B19" s="65">
        <f t="shared" si="1"/>
        <v>985</v>
      </c>
      <c r="C19" s="43">
        <f t="shared" si="0"/>
        <v>51</v>
      </c>
      <c r="D19" s="43">
        <f t="shared" si="0"/>
        <v>432</v>
      </c>
      <c r="E19" s="43">
        <f t="shared" si="0"/>
        <v>502</v>
      </c>
    </row>
    <row r="20" spans="1:7" x14ac:dyDescent="0.25">
      <c r="A20" s="44" t="s">
        <v>39</v>
      </c>
      <c r="B20" s="65">
        <f t="shared" si="1"/>
        <v>1085</v>
      </c>
      <c r="C20" s="43">
        <f t="shared" si="0"/>
        <v>53</v>
      </c>
      <c r="D20" s="43">
        <f t="shared" si="0"/>
        <v>480</v>
      </c>
      <c r="E20" s="43">
        <f t="shared" si="0"/>
        <v>552</v>
      </c>
      <c r="G20" s="69">
        <f>SUM(B11:B20)</f>
        <v>8491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9678</v>
      </c>
      <c r="C22" s="39">
        <f>SUM(C23:C28)</f>
        <v>478</v>
      </c>
      <c r="D22" s="39">
        <f>SUM(D23:D28)</f>
        <v>4186</v>
      </c>
      <c r="E22" s="39">
        <f>SUM(E23:E28)</f>
        <v>5014</v>
      </c>
    </row>
    <row r="23" spans="1:7" x14ac:dyDescent="0.25">
      <c r="A23" s="41" t="s">
        <v>41</v>
      </c>
      <c r="B23" s="42">
        <f>+C23+D23+E23</f>
        <v>1073</v>
      </c>
      <c r="C23" s="43">
        <f t="shared" ref="C23:E28" si="2">+C64+C105</f>
        <v>44</v>
      </c>
      <c r="D23" s="43">
        <f t="shared" si="2"/>
        <v>464</v>
      </c>
      <c r="E23" s="43">
        <f t="shared" si="2"/>
        <v>565</v>
      </c>
    </row>
    <row r="24" spans="1:7" x14ac:dyDescent="0.25">
      <c r="A24" s="41" t="s">
        <v>42</v>
      </c>
      <c r="B24" s="42">
        <f t="shared" ref="B24:B28" si="3">+C24+D24+E24</f>
        <v>1018</v>
      </c>
      <c r="C24" s="43">
        <f t="shared" si="2"/>
        <v>48</v>
      </c>
      <c r="D24" s="43">
        <f t="shared" si="2"/>
        <v>460</v>
      </c>
      <c r="E24" s="43">
        <f t="shared" si="2"/>
        <v>510</v>
      </c>
    </row>
    <row r="25" spans="1:7" x14ac:dyDescent="0.25">
      <c r="A25" s="41" t="s">
        <v>43</v>
      </c>
      <c r="B25" s="42">
        <f t="shared" si="3"/>
        <v>962</v>
      </c>
      <c r="C25" s="43">
        <f t="shared" si="2"/>
        <v>45</v>
      </c>
      <c r="D25" s="43">
        <f t="shared" si="2"/>
        <v>392</v>
      </c>
      <c r="E25" s="43">
        <f t="shared" si="2"/>
        <v>525</v>
      </c>
    </row>
    <row r="26" spans="1:7" x14ac:dyDescent="0.25">
      <c r="A26" s="41" t="s">
        <v>44</v>
      </c>
      <c r="B26" s="42">
        <f t="shared" si="3"/>
        <v>945</v>
      </c>
      <c r="C26" s="43">
        <f t="shared" si="2"/>
        <v>54</v>
      </c>
      <c r="D26" s="43">
        <f t="shared" si="2"/>
        <v>411</v>
      </c>
      <c r="E26" s="43">
        <f t="shared" si="2"/>
        <v>480</v>
      </c>
    </row>
    <row r="27" spans="1:7" x14ac:dyDescent="0.25">
      <c r="A27" s="41" t="s">
        <v>45</v>
      </c>
      <c r="B27" s="42">
        <f t="shared" si="3"/>
        <v>1026</v>
      </c>
      <c r="C27" s="43">
        <f t="shared" si="2"/>
        <v>55</v>
      </c>
      <c r="D27" s="43">
        <f t="shared" si="2"/>
        <v>449</v>
      </c>
      <c r="E27" s="43">
        <f t="shared" si="2"/>
        <v>522</v>
      </c>
    </row>
    <row r="28" spans="1:7" x14ac:dyDescent="0.25">
      <c r="A28" s="44" t="s">
        <v>46</v>
      </c>
      <c r="B28" s="42">
        <f t="shared" si="3"/>
        <v>4654</v>
      </c>
      <c r="C28" s="43">
        <f t="shared" si="2"/>
        <v>232</v>
      </c>
      <c r="D28" s="43">
        <f t="shared" si="2"/>
        <v>2010</v>
      </c>
      <c r="E28" s="43">
        <f t="shared" si="2"/>
        <v>2412</v>
      </c>
      <c r="G28" s="69">
        <f>SUM(B23:B28)</f>
        <v>9678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59077</v>
      </c>
      <c r="C30" s="39">
        <f>SUM(C31:C43)</f>
        <v>2516</v>
      </c>
      <c r="D30" s="39">
        <f>SUM(D31:D43)</f>
        <v>25631</v>
      </c>
      <c r="E30" s="39">
        <f>SUM(E31:E43)</f>
        <v>30930</v>
      </c>
    </row>
    <row r="31" spans="1:7" x14ac:dyDescent="0.25">
      <c r="A31" s="48" t="s">
        <v>21</v>
      </c>
      <c r="B31" s="42">
        <f>+C31+D31+E31</f>
        <v>4731</v>
      </c>
      <c r="C31" s="43">
        <f t="shared" ref="C31:E43" si="4">+C72+C113</f>
        <v>207</v>
      </c>
      <c r="D31" s="43">
        <f t="shared" si="4"/>
        <v>2057</v>
      </c>
      <c r="E31" s="43">
        <f t="shared" si="4"/>
        <v>2467</v>
      </c>
    </row>
    <row r="32" spans="1:7" x14ac:dyDescent="0.25">
      <c r="A32" s="48" t="s">
        <v>48</v>
      </c>
      <c r="B32" s="42">
        <f t="shared" ref="B32:B43" si="5">+C32+D32+E32</f>
        <v>6019</v>
      </c>
      <c r="C32" s="43">
        <f t="shared" si="4"/>
        <v>242</v>
      </c>
      <c r="D32" s="43">
        <f t="shared" si="4"/>
        <v>2774</v>
      </c>
      <c r="E32" s="43">
        <f t="shared" si="4"/>
        <v>3003</v>
      </c>
    </row>
    <row r="33" spans="1:7" x14ac:dyDescent="0.25">
      <c r="A33" s="48" t="s">
        <v>49</v>
      </c>
      <c r="B33" s="42">
        <f t="shared" si="5"/>
        <v>6593</v>
      </c>
      <c r="C33" s="43">
        <f t="shared" si="4"/>
        <v>258</v>
      </c>
      <c r="D33" s="43">
        <f t="shared" si="4"/>
        <v>3016</v>
      </c>
      <c r="E33" s="43">
        <f t="shared" si="4"/>
        <v>3319</v>
      </c>
    </row>
    <row r="34" spans="1:7" x14ac:dyDescent="0.25">
      <c r="A34" s="48" t="s">
        <v>50</v>
      </c>
      <c r="B34" s="42">
        <f t="shared" si="5"/>
        <v>6129</v>
      </c>
      <c r="C34" s="43">
        <f t="shared" si="4"/>
        <v>283</v>
      </c>
      <c r="D34" s="43">
        <f t="shared" si="4"/>
        <v>2696</v>
      </c>
      <c r="E34" s="43">
        <f t="shared" si="4"/>
        <v>3150</v>
      </c>
    </row>
    <row r="35" spans="1:7" x14ac:dyDescent="0.25">
      <c r="A35" s="48" t="s">
        <v>51</v>
      </c>
      <c r="B35" s="42">
        <f t="shared" si="5"/>
        <v>5148</v>
      </c>
      <c r="C35" s="43">
        <f t="shared" si="4"/>
        <v>213</v>
      </c>
      <c r="D35" s="43">
        <f t="shared" si="4"/>
        <v>2280</v>
      </c>
      <c r="E35" s="43">
        <f t="shared" si="4"/>
        <v>2655</v>
      </c>
    </row>
    <row r="36" spans="1:7" x14ac:dyDescent="0.25">
      <c r="A36" s="48" t="s">
        <v>52</v>
      </c>
      <c r="B36" s="42">
        <f t="shared" si="5"/>
        <v>4234</v>
      </c>
      <c r="C36" s="43">
        <f t="shared" si="4"/>
        <v>157</v>
      </c>
      <c r="D36" s="43">
        <f t="shared" si="4"/>
        <v>1833</v>
      </c>
      <c r="E36" s="43">
        <f t="shared" si="4"/>
        <v>2244</v>
      </c>
    </row>
    <row r="37" spans="1:7" x14ac:dyDescent="0.25">
      <c r="A37" s="48" t="s">
        <v>53</v>
      </c>
      <c r="B37" s="42">
        <f t="shared" si="5"/>
        <v>4335</v>
      </c>
      <c r="C37" s="43">
        <f t="shared" si="4"/>
        <v>167</v>
      </c>
      <c r="D37" s="43">
        <f t="shared" si="4"/>
        <v>1831</v>
      </c>
      <c r="E37" s="43">
        <f t="shared" si="4"/>
        <v>2337</v>
      </c>
    </row>
    <row r="38" spans="1:7" x14ac:dyDescent="0.25">
      <c r="A38" s="48" t="s">
        <v>54</v>
      </c>
      <c r="B38" s="42">
        <f t="shared" si="5"/>
        <v>4271</v>
      </c>
      <c r="C38" s="43">
        <f t="shared" si="4"/>
        <v>196</v>
      </c>
      <c r="D38" s="43">
        <f t="shared" si="4"/>
        <v>1793</v>
      </c>
      <c r="E38" s="43">
        <f t="shared" si="4"/>
        <v>2282</v>
      </c>
    </row>
    <row r="39" spans="1:7" x14ac:dyDescent="0.25">
      <c r="A39" s="48" t="s">
        <v>55</v>
      </c>
      <c r="B39" s="42">
        <f t="shared" si="5"/>
        <v>4355</v>
      </c>
      <c r="C39" s="43">
        <f t="shared" si="4"/>
        <v>202</v>
      </c>
      <c r="D39" s="43">
        <f t="shared" si="4"/>
        <v>1774</v>
      </c>
      <c r="E39" s="43">
        <f t="shared" si="4"/>
        <v>2379</v>
      </c>
    </row>
    <row r="40" spans="1:7" x14ac:dyDescent="0.25">
      <c r="A40" s="49" t="s">
        <v>56</v>
      </c>
      <c r="B40" s="42">
        <f t="shared" si="5"/>
        <v>3846</v>
      </c>
      <c r="C40" s="43">
        <f t="shared" si="4"/>
        <v>166</v>
      </c>
      <c r="D40" s="43">
        <f t="shared" si="4"/>
        <v>1588</v>
      </c>
      <c r="E40" s="43">
        <f t="shared" si="4"/>
        <v>2092</v>
      </c>
    </row>
    <row r="41" spans="1:7" x14ac:dyDescent="0.25">
      <c r="A41" s="48" t="s">
        <v>57</v>
      </c>
      <c r="B41" s="42">
        <f t="shared" si="5"/>
        <v>2977</v>
      </c>
      <c r="C41" s="43">
        <f t="shared" si="4"/>
        <v>153</v>
      </c>
      <c r="D41" s="43">
        <f t="shared" si="4"/>
        <v>1189</v>
      </c>
      <c r="E41" s="43">
        <f t="shared" si="4"/>
        <v>1635</v>
      </c>
    </row>
    <row r="42" spans="1:7" x14ac:dyDescent="0.25">
      <c r="A42" s="48" t="s">
        <v>58</v>
      </c>
      <c r="B42" s="42">
        <f t="shared" si="5"/>
        <v>2378</v>
      </c>
      <c r="C42" s="43">
        <f t="shared" si="4"/>
        <v>112</v>
      </c>
      <c r="D42" s="43">
        <f t="shared" si="4"/>
        <v>1012</v>
      </c>
      <c r="E42" s="43">
        <f t="shared" si="4"/>
        <v>1254</v>
      </c>
    </row>
    <row r="43" spans="1:7" x14ac:dyDescent="0.25">
      <c r="A43" s="48" t="s">
        <v>59</v>
      </c>
      <c r="B43" s="42">
        <f t="shared" si="5"/>
        <v>4061</v>
      </c>
      <c r="C43" s="43">
        <f t="shared" si="4"/>
        <v>160</v>
      </c>
      <c r="D43" s="43">
        <f t="shared" si="4"/>
        <v>1788</v>
      </c>
      <c r="E43" s="43">
        <f t="shared" si="4"/>
        <v>2113</v>
      </c>
      <c r="G43" s="69">
        <f>SUM(B31:B43)</f>
        <v>59077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ht="21" x14ac:dyDescent="0.5">
      <c r="A46" s="90" t="s">
        <v>124</v>
      </c>
      <c r="B46" s="91"/>
      <c r="C46" s="91"/>
      <c r="D46" s="91"/>
      <c r="E46" s="91"/>
    </row>
    <row r="47" spans="1:7" ht="13.8" thickBot="1" x14ac:dyDescent="0.3">
      <c r="A47" s="52"/>
      <c r="B47" s="30"/>
      <c r="C47" s="40"/>
      <c r="D47" s="40"/>
      <c r="E47" s="40"/>
    </row>
    <row r="48" spans="1:7" ht="13.8" thickBot="1" x14ac:dyDescent="0.3">
      <c r="A48" s="37" t="s">
        <v>61</v>
      </c>
      <c r="B48" s="38">
        <f>+C48+D48+E48</f>
        <v>43155</v>
      </c>
      <c r="C48" s="39">
        <f>+C51+C63+C71+C49</f>
        <v>1890</v>
      </c>
      <c r="D48" s="39">
        <f>+D51+D63+D71+D49</f>
        <v>18363</v>
      </c>
      <c r="E48" s="39">
        <f>+E51+E63+E71</f>
        <v>22902</v>
      </c>
    </row>
    <row r="49" spans="1:7" x14ac:dyDescent="0.25">
      <c r="A49" s="44" t="s">
        <v>62</v>
      </c>
      <c r="B49" s="42">
        <f>+C49+D49+E49</f>
        <v>60</v>
      </c>
      <c r="C49" s="43">
        <v>0</v>
      </c>
      <c r="D49" s="43">
        <v>49</v>
      </c>
      <c r="E49" s="43">
        <v>11</v>
      </c>
      <c r="G49" s="69">
        <f>+B48+B49</f>
        <v>43215</v>
      </c>
    </row>
    <row r="50" spans="1:7" ht="13.8" thickBot="1" x14ac:dyDescent="0.3">
      <c r="A50" s="30"/>
      <c r="B50" s="30"/>
      <c r="C50" s="40"/>
      <c r="D50" s="40"/>
      <c r="E50" s="40"/>
    </row>
    <row r="51" spans="1:7" ht="13.8" thickBot="1" x14ac:dyDescent="0.3">
      <c r="A51" s="37" t="s">
        <v>28</v>
      </c>
      <c r="B51" s="38">
        <f>+C51+D51+E51</f>
        <v>4152</v>
      </c>
      <c r="C51" s="39">
        <f>SUM(C52:C61)</f>
        <v>207</v>
      </c>
      <c r="D51" s="39">
        <f>SUM(D52:D61)</f>
        <v>1795</v>
      </c>
      <c r="E51" s="39">
        <f>SUM(E52:E61)</f>
        <v>2150</v>
      </c>
    </row>
    <row r="52" spans="1:7" x14ac:dyDescent="0.25">
      <c r="A52" s="44" t="s">
        <v>30</v>
      </c>
      <c r="B52" s="42">
        <f>+C52+D52+E52</f>
        <v>253</v>
      </c>
      <c r="C52" s="45">
        <v>14</v>
      </c>
      <c r="D52" s="45">
        <v>97</v>
      </c>
      <c r="E52" s="45">
        <v>142</v>
      </c>
    </row>
    <row r="53" spans="1:7" x14ac:dyDescent="0.25">
      <c r="A53" s="41" t="s">
        <v>31</v>
      </c>
      <c r="B53" s="42">
        <f t="shared" ref="B53:B61" si="6">+C53+D53+E53</f>
        <v>336</v>
      </c>
      <c r="C53" s="45">
        <v>19</v>
      </c>
      <c r="D53" s="45">
        <v>133</v>
      </c>
      <c r="E53" s="45">
        <v>184</v>
      </c>
    </row>
    <row r="54" spans="1:7" x14ac:dyDescent="0.25">
      <c r="A54" s="44" t="s">
        <v>32</v>
      </c>
      <c r="B54" s="42">
        <f t="shared" si="6"/>
        <v>366</v>
      </c>
      <c r="C54" s="45">
        <v>20</v>
      </c>
      <c r="D54" s="45">
        <v>147</v>
      </c>
      <c r="E54" s="45">
        <v>199</v>
      </c>
    </row>
    <row r="55" spans="1:7" x14ac:dyDescent="0.25">
      <c r="A55" s="44" t="s">
        <v>33</v>
      </c>
      <c r="B55" s="42">
        <f t="shared" si="6"/>
        <v>355</v>
      </c>
      <c r="C55" s="45">
        <v>25</v>
      </c>
      <c r="D55" s="45">
        <v>152</v>
      </c>
      <c r="E55" s="45">
        <v>178</v>
      </c>
    </row>
    <row r="56" spans="1:7" x14ac:dyDescent="0.25">
      <c r="A56" s="44" t="s">
        <v>34</v>
      </c>
      <c r="B56" s="42">
        <f t="shared" si="6"/>
        <v>436</v>
      </c>
      <c r="C56" s="45">
        <v>29</v>
      </c>
      <c r="D56" s="45">
        <v>192</v>
      </c>
      <c r="E56" s="45">
        <v>215</v>
      </c>
    </row>
    <row r="57" spans="1:7" x14ac:dyDescent="0.25">
      <c r="A57" s="44" t="s">
        <v>35</v>
      </c>
      <c r="B57" s="42">
        <f t="shared" si="6"/>
        <v>457</v>
      </c>
      <c r="C57" s="45">
        <v>22</v>
      </c>
      <c r="D57" s="45">
        <v>210</v>
      </c>
      <c r="E57" s="45">
        <v>225</v>
      </c>
    </row>
    <row r="58" spans="1:7" x14ac:dyDescent="0.25">
      <c r="A58" s="44" t="s">
        <v>36</v>
      </c>
      <c r="B58" s="42">
        <f t="shared" si="6"/>
        <v>476</v>
      </c>
      <c r="C58" s="45">
        <v>19</v>
      </c>
      <c r="D58" s="45">
        <v>206</v>
      </c>
      <c r="E58" s="45">
        <v>251</v>
      </c>
    </row>
    <row r="59" spans="1:7" x14ac:dyDescent="0.25">
      <c r="A59" s="44" t="s">
        <v>37</v>
      </c>
      <c r="B59" s="42">
        <f t="shared" si="6"/>
        <v>459</v>
      </c>
      <c r="C59" s="45">
        <v>19</v>
      </c>
      <c r="D59" s="45">
        <v>212</v>
      </c>
      <c r="E59" s="45">
        <v>228</v>
      </c>
    </row>
    <row r="60" spans="1:7" x14ac:dyDescent="0.25">
      <c r="A60" s="44" t="s">
        <v>38</v>
      </c>
      <c r="B60" s="42">
        <f t="shared" si="6"/>
        <v>471</v>
      </c>
      <c r="C60" s="45">
        <v>18</v>
      </c>
      <c r="D60" s="45">
        <v>198</v>
      </c>
      <c r="E60" s="45">
        <v>255</v>
      </c>
    </row>
    <row r="61" spans="1:7" x14ac:dyDescent="0.25">
      <c r="A61" s="44" t="s">
        <v>39</v>
      </c>
      <c r="B61" s="42">
        <f t="shared" si="6"/>
        <v>543</v>
      </c>
      <c r="C61" s="45">
        <v>22</v>
      </c>
      <c r="D61" s="45">
        <v>248</v>
      </c>
      <c r="E61" s="45">
        <v>273</v>
      </c>
      <c r="G61" s="69">
        <f>SUM(B52:B61)</f>
        <v>4152</v>
      </c>
    </row>
    <row r="62" spans="1:7" ht="13.8" thickBot="1" x14ac:dyDescent="0.3">
      <c r="A62" s="46"/>
      <c r="B62" s="30"/>
      <c r="C62" s="40"/>
      <c r="D62" s="40"/>
      <c r="E62" s="40"/>
    </row>
    <row r="63" spans="1:7" ht="13.8" thickBot="1" x14ac:dyDescent="0.3">
      <c r="A63" s="37" t="s">
        <v>40</v>
      </c>
      <c r="B63" s="38">
        <f>+C63+D63+E63</f>
        <v>4823</v>
      </c>
      <c r="C63" s="39">
        <f>SUM(C64:C69)</f>
        <v>243</v>
      </c>
      <c r="D63" s="39">
        <f>SUM(D64:D69)</f>
        <v>2086</v>
      </c>
      <c r="E63" s="39">
        <f>SUM(E64:E69)</f>
        <v>2494</v>
      </c>
    </row>
    <row r="64" spans="1:7" x14ac:dyDescent="0.25">
      <c r="A64" s="41" t="s">
        <v>41</v>
      </c>
      <c r="B64" s="42">
        <f>+C64+D64+E64</f>
        <v>549</v>
      </c>
      <c r="C64" s="43">
        <v>26</v>
      </c>
      <c r="D64" s="43">
        <v>251</v>
      </c>
      <c r="E64" s="43">
        <v>272</v>
      </c>
    </row>
    <row r="65" spans="1:7" x14ac:dyDescent="0.25">
      <c r="A65" s="41" t="s">
        <v>42</v>
      </c>
      <c r="B65" s="42">
        <f t="shared" ref="B65:B69" si="7">+C65+D65+E65</f>
        <v>511</v>
      </c>
      <c r="C65" s="45">
        <v>29</v>
      </c>
      <c r="D65" s="45">
        <v>231</v>
      </c>
      <c r="E65" s="45">
        <v>251</v>
      </c>
    </row>
    <row r="66" spans="1:7" x14ac:dyDescent="0.25">
      <c r="A66" s="41" t="s">
        <v>43</v>
      </c>
      <c r="B66" s="42">
        <f t="shared" si="7"/>
        <v>467</v>
      </c>
      <c r="C66" s="45">
        <v>29</v>
      </c>
      <c r="D66" s="45">
        <v>196</v>
      </c>
      <c r="E66" s="45">
        <v>242</v>
      </c>
    </row>
    <row r="67" spans="1:7" x14ac:dyDescent="0.25">
      <c r="A67" s="41" t="s">
        <v>44</v>
      </c>
      <c r="B67" s="42">
        <f t="shared" si="7"/>
        <v>487</v>
      </c>
      <c r="C67" s="45">
        <v>24</v>
      </c>
      <c r="D67" s="45">
        <v>197</v>
      </c>
      <c r="E67" s="45">
        <v>266</v>
      </c>
    </row>
    <row r="68" spans="1:7" x14ac:dyDescent="0.25">
      <c r="A68" s="41" t="s">
        <v>45</v>
      </c>
      <c r="B68" s="42">
        <f t="shared" si="7"/>
        <v>486</v>
      </c>
      <c r="C68" s="45">
        <v>28</v>
      </c>
      <c r="D68" s="45">
        <v>212</v>
      </c>
      <c r="E68" s="45">
        <v>246</v>
      </c>
    </row>
    <row r="69" spans="1:7" x14ac:dyDescent="0.25">
      <c r="A69" s="44" t="s">
        <v>46</v>
      </c>
      <c r="B69" s="42">
        <f t="shared" si="7"/>
        <v>2323</v>
      </c>
      <c r="C69" s="45">
        <v>107</v>
      </c>
      <c r="D69" s="45">
        <v>999</v>
      </c>
      <c r="E69" s="45">
        <v>1217</v>
      </c>
      <c r="G69" s="69">
        <f>SUM(B64:B69)</f>
        <v>4823</v>
      </c>
    </row>
    <row r="70" spans="1:7" ht="13.8" thickBot="1" x14ac:dyDescent="0.3">
      <c r="A70" s="47"/>
      <c r="B70" s="30"/>
      <c r="C70" s="40"/>
      <c r="D70" s="40"/>
      <c r="E70" s="40"/>
    </row>
    <row r="71" spans="1:7" ht="13.8" thickBot="1" x14ac:dyDescent="0.3">
      <c r="A71" s="37" t="s">
        <v>47</v>
      </c>
      <c r="B71" s="38">
        <f>+C71+D71+E71</f>
        <v>34131</v>
      </c>
      <c r="C71" s="39">
        <f>SUM(C72:C84)</f>
        <v>1440</v>
      </c>
      <c r="D71" s="39">
        <f>SUM(D72:D84)</f>
        <v>14433</v>
      </c>
      <c r="E71" s="39">
        <f>SUM(E72:E84)</f>
        <v>18258</v>
      </c>
    </row>
    <row r="72" spans="1:7" x14ac:dyDescent="0.25">
      <c r="A72" s="48" t="s">
        <v>21</v>
      </c>
      <c r="B72" s="42">
        <f>+C72+D72+E72</f>
        <v>2572</v>
      </c>
      <c r="C72" s="43">
        <v>109</v>
      </c>
      <c r="D72" s="43">
        <v>1066</v>
      </c>
      <c r="E72" s="43">
        <v>1397</v>
      </c>
    </row>
    <row r="73" spans="1:7" x14ac:dyDescent="0.25">
      <c r="A73" s="48" t="s">
        <v>48</v>
      </c>
      <c r="B73" s="42">
        <f t="shared" ref="B73:B84" si="8">+C73+D73+E73</f>
        <v>3415</v>
      </c>
      <c r="C73" s="45">
        <v>150</v>
      </c>
      <c r="D73" s="45">
        <v>1545</v>
      </c>
      <c r="E73" s="45">
        <v>1720</v>
      </c>
    </row>
    <row r="74" spans="1:7" x14ac:dyDescent="0.25">
      <c r="A74" s="48" t="s">
        <v>49</v>
      </c>
      <c r="B74" s="42">
        <f t="shared" si="8"/>
        <v>3791</v>
      </c>
      <c r="C74" s="45">
        <v>155</v>
      </c>
      <c r="D74" s="45">
        <v>1663</v>
      </c>
      <c r="E74" s="45">
        <v>1973</v>
      </c>
    </row>
    <row r="75" spans="1:7" x14ac:dyDescent="0.25">
      <c r="A75" s="48" t="s">
        <v>50</v>
      </c>
      <c r="B75" s="42">
        <f t="shared" si="8"/>
        <v>3477</v>
      </c>
      <c r="C75" s="45">
        <v>159</v>
      </c>
      <c r="D75" s="45">
        <v>1473</v>
      </c>
      <c r="E75" s="45">
        <v>1845</v>
      </c>
    </row>
    <row r="76" spans="1:7" x14ac:dyDescent="0.25">
      <c r="A76" s="48" t="s">
        <v>51</v>
      </c>
      <c r="B76" s="42">
        <f t="shared" si="8"/>
        <v>2972</v>
      </c>
      <c r="C76" s="45">
        <v>118</v>
      </c>
      <c r="D76" s="45">
        <v>1312</v>
      </c>
      <c r="E76" s="45">
        <v>1542</v>
      </c>
    </row>
    <row r="77" spans="1:7" x14ac:dyDescent="0.25">
      <c r="A77" s="48" t="s">
        <v>52</v>
      </c>
      <c r="B77" s="42">
        <f t="shared" si="8"/>
        <v>2422</v>
      </c>
      <c r="C77" s="45">
        <v>102</v>
      </c>
      <c r="D77" s="45">
        <v>1023</v>
      </c>
      <c r="E77" s="45">
        <v>1297</v>
      </c>
    </row>
    <row r="78" spans="1:7" x14ac:dyDescent="0.25">
      <c r="A78" s="48" t="s">
        <v>53</v>
      </c>
      <c r="B78" s="42">
        <f t="shared" si="8"/>
        <v>2487</v>
      </c>
      <c r="C78" s="45">
        <v>89</v>
      </c>
      <c r="D78" s="45">
        <v>1045</v>
      </c>
      <c r="E78" s="45">
        <v>1353</v>
      </c>
    </row>
    <row r="79" spans="1:7" x14ac:dyDescent="0.25">
      <c r="A79" s="48" t="s">
        <v>54</v>
      </c>
      <c r="B79" s="42">
        <f t="shared" si="8"/>
        <v>2460</v>
      </c>
      <c r="C79" s="45">
        <v>114</v>
      </c>
      <c r="D79" s="45">
        <v>1028</v>
      </c>
      <c r="E79" s="45">
        <v>1318</v>
      </c>
    </row>
    <row r="80" spans="1:7" x14ac:dyDescent="0.25">
      <c r="A80" s="48" t="s">
        <v>55</v>
      </c>
      <c r="B80" s="42">
        <f t="shared" si="8"/>
        <v>2519</v>
      </c>
      <c r="C80" s="45">
        <v>108</v>
      </c>
      <c r="D80" s="45">
        <v>1024</v>
      </c>
      <c r="E80" s="45">
        <v>1387</v>
      </c>
    </row>
    <row r="81" spans="1:7" x14ac:dyDescent="0.25">
      <c r="A81" s="49" t="s">
        <v>56</v>
      </c>
      <c r="B81" s="42">
        <f t="shared" si="8"/>
        <v>2214</v>
      </c>
      <c r="C81" s="45">
        <v>84</v>
      </c>
      <c r="D81" s="45">
        <v>893</v>
      </c>
      <c r="E81" s="45">
        <v>1237</v>
      </c>
    </row>
    <row r="82" spans="1:7" x14ac:dyDescent="0.25">
      <c r="A82" s="48" t="s">
        <v>57</v>
      </c>
      <c r="B82" s="42">
        <f t="shared" si="8"/>
        <v>1759</v>
      </c>
      <c r="C82" s="45">
        <v>82</v>
      </c>
      <c r="D82" s="45">
        <v>721</v>
      </c>
      <c r="E82" s="45">
        <v>956</v>
      </c>
    </row>
    <row r="83" spans="1:7" x14ac:dyDescent="0.25">
      <c r="A83" s="48" t="s">
        <v>58</v>
      </c>
      <c r="B83" s="42">
        <f t="shared" si="8"/>
        <v>1460</v>
      </c>
      <c r="C83" s="45">
        <v>72</v>
      </c>
      <c r="D83" s="45">
        <v>604</v>
      </c>
      <c r="E83" s="45">
        <v>784</v>
      </c>
    </row>
    <row r="84" spans="1:7" x14ac:dyDescent="0.25">
      <c r="A84" s="48" t="s">
        <v>59</v>
      </c>
      <c r="B84" s="42">
        <f t="shared" si="8"/>
        <v>2583</v>
      </c>
      <c r="C84" s="45">
        <v>98</v>
      </c>
      <c r="D84" s="45">
        <v>1036</v>
      </c>
      <c r="E84" s="45">
        <v>1449</v>
      </c>
      <c r="G84" s="69">
        <f>SUM(B72:B84)</f>
        <v>34131</v>
      </c>
    </row>
    <row r="87" spans="1:7" ht="21" x14ac:dyDescent="0.5">
      <c r="A87" s="90" t="s">
        <v>125</v>
      </c>
      <c r="B87" s="91"/>
      <c r="C87" s="91"/>
      <c r="D87" s="91"/>
      <c r="E87" s="91"/>
    </row>
    <row r="88" spans="1:7" ht="13.8" thickBot="1" x14ac:dyDescent="0.3">
      <c r="A88" s="52"/>
      <c r="B88" s="30"/>
      <c r="C88" s="40"/>
      <c r="D88" s="40"/>
      <c r="E88" s="40"/>
    </row>
    <row r="89" spans="1:7" ht="13.8" thickBot="1" x14ac:dyDescent="0.3">
      <c r="A89" s="37" t="s">
        <v>64</v>
      </c>
      <c r="B89" s="38">
        <f>+C89+D89+E89</f>
        <v>34253</v>
      </c>
      <c r="C89" s="39">
        <f>+C92+C104+C112+C90</f>
        <v>1546</v>
      </c>
      <c r="D89" s="39">
        <f>+D92+D104+D112+D90</f>
        <v>15303</v>
      </c>
      <c r="E89" s="39">
        <f>+E92+E104+E112</f>
        <v>17404</v>
      </c>
    </row>
    <row r="90" spans="1:7" x14ac:dyDescent="0.25">
      <c r="A90" s="44" t="s">
        <v>62</v>
      </c>
      <c r="B90" s="42">
        <f>+C90+D90+E90</f>
        <v>128</v>
      </c>
      <c r="C90" s="43">
        <v>1</v>
      </c>
      <c r="D90" s="43">
        <v>112</v>
      </c>
      <c r="E90" s="43">
        <v>15</v>
      </c>
      <c r="G90" s="69">
        <f>+B89+B90</f>
        <v>34381</v>
      </c>
    </row>
    <row r="91" spans="1:7" ht="13.8" thickBot="1" x14ac:dyDescent="0.3">
      <c r="A91" s="30"/>
      <c r="B91" s="30"/>
      <c r="C91" s="40"/>
      <c r="D91" s="40"/>
      <c r="E91" s="40"/>
    </row>
    <row r="92" spans="1:7" ht="13.8" thickBot="1" x14ac:dyDescent="0.3">
      <c r="A92" s="37" t="s">
        <v>28</v>
      </c>
      <c r="B92" s="38">
        <f>+C92+D92+E92</f>
        <v>4339</v>
      </c>
      <c r="C92" s="39">
        <f>SUM(C93:C102)</f>
        <v>234</v>
      </c>
      <c r="D92" s="39">
        <f>SUM(D93:D102)</f>
        <v>1893</v>
      </c>
      <c r="E92" s="39">
        <f>SUM(E93:E102)</f>
        <v>2212</v>
      </c>
    </row>
    <row r="93" spans="1:7" x14ac:dyDescent="0.25">
      <c r="A93" s="44" t="s">
        <v>30</v>
      </c>
      <c r="B93" s="42">
        <f t="shared" ref="B93:B103" si="9">+C93+D93+E93</f>
        <v>273</v>
      </c>
      <c r="C93" s="45">
        <v>10</v>
      </c>
      <c r="D93" s="45">
        <v>119</v>
      </c>
      <c r="E93" s="45">
        <v>144</v>
      </c>
    </row>
    <row r="94" spans="1:7" x14ac:dyDescent="0.25">
      <c r="A94" s="41" t="s">
        <v>31</v>
      </c>
      <c r="B94" s="42">
        <f t="shared" si="9"/>
        <v>369</v>
      </c>
      <c r="C94" s="45">
        <v>22</v>
      </c>
      <c r="D94" s="45">
        <v>140</v>
      </c>
      <c r="E94" s="45">
        <v>207</v>
      </c>
    </row>
    <row r="95" spans="1:7" x14ac:dyDescent="0.25">
      <c r="A95" s="44" t="s">
        <v>32</v>
      </c>
      <c r="B95" s="42">
        <f t="shared" si="9"/>
        <v>368</v>
      </c>
      <c r="C95" s="45">
        <v>22</v>
      </c>
      <c r="D95" s="45">
        <v>152</v>
      </c>
      <c r="E95" s="45">
        <v>194</v>
      </c>
    </row>
    <row r="96" spans="1:7" x14ac:dyDescent="0.25">
      <c r="A96" s="44" t="s">
        <v>33</v>
      </c>
      <c r="B96" s="42">
        <f t="shared" si="9"/>
        <v>383</v>
      </c>
      <c r="C96" s="45">
        <v>25</v>
      </c>
      <c r="D96" s="45">
        <v>164</v>
      </c>
      <c r="E96" s="45">
        <v>194</v>
      </c>
    </row>
    <row r="97" spans="1:7" x14ac:dyDescent="0.25">
      <c r="A97" s="44" t="s">
        <v>34</v>
      </c>
      <c r="B97" s="42">
        <f t="shared" si="9"/>
        <v>432</v>
      </c>
      <c r="C97" s="45">
        <v>21</v>
      </c>
      <c r="D97" s="45">
        <v>199</v>
      </c>
      <c r="E97" s="45">
        <v>212</v>
      </c>
    </row>
    <row r="98" spans="1:7" x14ac:dyDescent="0.25">
      <c r="A98" s="44" t="s">
        <v>35</v>
      </c>
      <c r="B98" s="42">
        <f t="shared" si="9"/>
        <v>498</v>
      </c>
      <c r="C98" s="45">
        <v>22</v>
      </c>
      <c r="D98" s="45">
        <v>242</v>
      </c>
      <c r="E98" s="45">
        <v>234</v>
      </c>
    </row>
    <row r="99" spans="1:7" x14ac:dyDescent="0.25">
      <c r="A99" s="44" t="s">
        <v>36</v>
      </c>
      <c r="B99" s="42">
        <f t="shared" si="9"/>
        <v>486</v>
      </c>
      <c r="C99" s="45">
        <v>31</v>
      </c>
      <c r="D99" s="45">
        <v>214</v>
      </c>
      <c r="E99" s="45">
        <v>241</v>
      </c>
    </row>
    <row r="100" spans="1:7" x14ac:dyDescent="0.25">
      <c r="A100" s="44" t="s">
        <v>37</v>
      </c>
      <c r="B100" s="42">
        <f t="shared" si="9"/>
        <v>474</v>
      </c>
      <c r="C100" s="45">
        <v>17</v>
      </c>
      <c r="D100" s="45">
        <v>197</v>
      </c>
      <c r="E100" s="45">
        <v>260</v>
      </c>
    </row>
    <row r="101" spans="1:7" x14ac:dyDescent="0.25">
      <c r="A101" s="44" t="s">
        <v>38</v>
      </c>
      <c r="B101" s="42">
        <f t="shared" si="9"/>
        <v>514</v>
      </c>
      <c r="C101" s="45">
        <v>33</v>
      </c>
      <c r="D101" s="45">
        <v>234</v>
      </c>
      <c r="E101" s="45">
        <v>247</v>
      </c>
    </row>
    <row r="102" spans="1:7" x14ac:dyDescent="0.25">
      <c r="A102" s="44" t="s">
        <v>39</v>
      </c>
      <c r="B102" s="42">
        <f t="shared" si="9"/>
        <v>542</v>
      </c>
      <c r="C102" s="45">
        <v>31</v>
      </c>
      <c r="D102" s="45">
        <v>232</v>
      </c>
      <c r="E102" s="45">
        <v>279</v>
      </c>
      <c r="G102" s="69">
        <f>SUM(B93:B102)</f>
        <v>4339</v>
      </c>
    </row>
    <row r="103" spans="1:7" ht="13.8" thickBot="1" x14ac:dyDescent="0.3">
      <c r="A103" s="46"/>
      <c r="B103" s="30">
        <f t="shared" si="9"/>
        <v>0</v>
      </c>
      <c r="C103" s="40"/>
      <c r="D103" s="40"/>
      <c r="E103" s="40"/>
    </row>
    <row r="104" spans="1:7" ht="13.8" thickBot="1" x14ac:dyDescent="0.3">
      <c r="A104" s="37" t="s">
        <v>40</v>
      </c>
      <c r="B104" s="38">
        <f>+C104+D104+E104</f>
        <v>4855</v>
      </c>
      <c r="C104" s="39">
        <f>SUM(C105:C110)</f>
        <v>235</v>
      </c>
      <c r="D104" s="39">
        <f t="shared" ref="D104:E104" si="10">SUM(D105:D110)</f>
        <v>2100</v>
      </c>
      <c r="E104" s="39">
        <f t="shared" si="10"/>
        <v>2520</v>
      </c>
    </row>
    <row r="105" spans="1:7" x14ac:dyDescent="0.25">
      <c r="A105" s="41" t="s">
        <v>41</v>
      </c>
      <c r="B105" s="42">
        <f t="shared" ref="B105:B110" si="11">+C105+D105+E105</f>
        <v>524</v>
      </c>
      <c r="C105" s="43">
        <v>18</v>
      </c>
      <c r="D105" s="43">
        <v>213</v>
      </c>
      <c r="E105" s="43">
        <v>293</v>
      </c>
    </row>
    <row r="106" spans="1:7" x14ac:dyDescent="0.25">
      <c r="A106" s="41" t="s">
        <v>42</v>
      </c>
      <c r="B106" s="42">
        <f t="shared" si="11"/>
        <v>507</v>
      </c>
      <c r="C106" s="45">
        <v>19</v>
      </c>
      <c r="D106" s="45">
        <v>229</v>
      </c>
      <c r="E106" s="45">
        <v>259</v>
      </c>
    </row>
    <row r="107" spans="1:7" x14ac:dyDescent="0.25">
      <c r="A107" s="41" t="s">
        <v>43</v>
      </c>
      <c r="B107" s="42">
        <f t="shared" si="11"/>
        <v>495</v>
      </c>
      <c r="C107" s="45">
        <v>16</v>
      </c>
      <c r="D107" s="45">
        <v>196</v>
      </c>
      <c r="E107" s="45">
        <v>283</v>
      </c>
    </row>
    <row r="108" spans="1:7" x14ac:dyDescent="0.25">
      <c r="A108" s="41" t="s">
        <v>44</v>
      </c>
      <c r="B108" s="42">
        <f t="shared" si="11"/>
        <v>458</v>
      </c>
      <c r="C108" s="45">
        <v>30</v>
      </c>
      <c r="D108" s="45">
        <v>214</v>
      </c>
      <c r="E108" s="45">
        <v>214</v>
      </c>
    </row>
    <row r="109" spans="1:7" x14ac:dyDescent="0.25">
      <c r="A109" s="41" t="s">
        <v>45</v>
      </c>
      <c r="B109" s="42">
        <f t="shared" si="11"/>
        <v>540</v>
      </c>
      <c r="C109" s="45">
        <v>27</v>
      </c>
      <c r="D109" s="45">
        <v>237</v>
      </c>
      <c r="E109" s="45">
        <v>276</v>
      </c>
    </row>
    <row r="110" spans="1:7" x14ac:dyDescent="0.25">
      <c r="A110" s="44" t="s">
        <v>46</v>
      </c>
      <c r="B110" s="42">
        <f t="shared" si="11"/>
        <v>2331</v>
      </c>
      <c r="C110" s="45">
        <v>125</v>
      </c>
      <c r="D110" s="45">
        <v>1011</v>
      </c>
      <c r="E110" s="45">
        <v>1195</v>
      </c>
      <c r="G110" s="69">
        <f>SUM(B105:B110)</f>
        <v>4855</v>
      </c>
    </row>
    <row r="111" spans="1:7" ht="13.8" thickBot="1" x14ac:dyDescent="0.3">
      <c r="A111" s="47"/>
      <c r="B111" s="30"/>
      <c r="C111" s="40"/>
      <c r="D111" s="40"/>
      <c r="E111" s="40"/>
    </row>
    <row r="112" spans="1:7" ht="13.8" thickBot="1" x14ac:dyDescent="0.3">
      <c r="A112" s="37" t="s">
        <v>47</v>
      </c>
      <c r="B112" s="38">
        <f>+C112+D112+E112</f>
        <v>24946</v>
      </c>
      <c r="C112" s="39">
        <f>SUM(C113:C125)</f>
        <v>1076</v>
      </c>
      <c r="D112" s="39">
        <f t="shared" ref="D112:E112" si="12">SUM(D113:D125)</f>
        <v>11198</v>
      </c>
      <c r="E112" s="39">
        <f t="shared" si="12"/>
        <v>12672</v>
      </c>
    </row>
    <row r="113" spans="1:7" x14ac:dyDescent="0.25">
      <c r="A113" s="48" t="s">
        <v>21</v>
      </c>
      <c r="B113" s="42">
        <f>+C113+D113+E113</f>
        <v>2159</v>
      </c>
      <c r="C113" s="43">
        <v>98</v>
      </c>
      <c r="D113" s="43">
        <v>991</v>
      </c>
      <c r="E113" s="43">
        <v>1070</v>
      </c>
    </row>
    <row r="114" spans="1:7" x14ac:dyDescent="0.25">
      <c r="A114" s="48" t="s">
        <v>48</v>
      </c>
      <c r="B114" s="42">
        <f t="shared" ref="B114:B125" si="13">+C114+D114+E114</f>
        <v>2604</v>
      </c>
      <c r="C114" s="45">
        <v>92</v>
      </c>
      <c r="D114" s="45">
        <v>1229</v>
      </c>
      <c r="E114" s="45">
        <v>1283</v>
      </c>
    </row>
    <row r="115" spans="1:7" x14ac:dyDescent="0.25">
      <c r="A115" s="48" t="s">
        <v>49</v>
      </c>
      <c r="B115" s="42">
        <f t="shared" si="13"/>
        <v>2802</v>
      </c>
      <c r="C115" s="45">
        <v>103</v>
      </c>
      <c r="D115" s="45">
        <v>1353</v>
      </c>
      <c r="E115" s="45">
        <v>1346</v>
      </c>
    </row>
    <row r="116" spans="1:7" x14ac:dyDescent="0.25">
      <c r="A116" s="48" t="s">
        <v>50</v>
      </c>
      <c r="B116" s="42">
        <f t="shared" si="13"/>
        <v>2652</v>
      </c>
      <c r="C116" s="45">
        <v>124</v>
      </c>
      <c r="D116" s="45">
        <v>1223</v>
      </c>
      <c r="E116" s="45">
        <v>1305</v>
      </c>
    </row>
    <row r="117" spans="1:7" x14ac:dyDescent="0.25">
      <c r="A117" s="48" t="s">
        <v>51</v>
      </c>
      <c r="B117" s="42">
        <f t="shared" si="13"/>
        <v>2176</v>
      </c>
      <c r="C117" s="45">
        <v>95</v>
      </c>
      <c r="D117" s="45">
        <v>968</v>
      </c>
      <c r="E117" s="45">
        <v>1113</v>
      </c>
    </row>
    <row r="118" spans="1:7" x14ac:dyDescent="0.25">
      <c r="A118" s="48" t="s">
        <v>52</v>
      </c>
      <c r="B118" s="42">
        <f t="shared" si="13"/>
        <v>1812</v>
      </c>
      <c r="C118" s="45">
        <v>55</v>
      </c>
      <c r="D118" s="45">
        <v>810</v>
      </c>
      <c r="E118" s="45">
        <v>947</v>
      </c>
    </row>
    <row r="119" spans="1:7" x14ac:dyDescent="0.25">
      <c r="A119" s="48" t="s">
        <v>53</v>
      </c>
      <c r="B119" s="42">
        <f t="shared" si="13"/>
        <v>1848</v>
      </c>
      <c r="C119" s="45">
        <v>78</v>
      </c>
      <c r="D119" s="45">
        <v>786</v>
      </c>
      <c r="E119" s="45">
        <v>984</v>
      </c>
    </row>
    <row r="120" spans="1:7" x14ac:dyDescent="0.25">
      <c r="A120" s="48" t="s">
        <v>54</v>
      </c>
      <c r="B120" s="42">
        <f t="shared" si="13"/>
        <v>1811</v>
      </c>
      <c r="C120" s="45">
        <v>82</v>
      </c>
      <c r="D120" s="45">
        <v>765</v>
      </c>
      <c r="E120" s="45">
        <v>964</v>
      </c>
    </row>
    <row r="121" spans="1:7" x14ac:dyDescent="0.25">
      <c r="A121" s="48" t="s">
        <v>55</v>
      </c>
      <c r="B121" s="42">
        <f t="shared" si="13"/>
        <v>1836</v>
      </c>
      <c r="C121" s="45">
        <v>94</v>
      </c>
      <c r="D121" s="45">
        <v>750</v>
      </c>
      <c r="E121" s="45">
        <v>992</v>
      </c>
    </row>
    <row r="122" spans="1:7" x14ac:dyDescent="0.25">
      <c r="A122" s="49" t="s">
        <v>56</v>
      </c>
      <c r="B122" s="42">
        <f t="shared" si="13"/>
        <v>1632</v>
      </c>
      <c r="C122" s="45">
        <v>82</v>
      </c>
      <c r="D122" s="45">
        <v>695</v>
      </c>
      <c r="E122" s="45">
        <v>855</v>
      </c>
    </row>
    <row r="123" spans="1:7" x14ac:dyDescent="0.25">
      <c r="A123" s="48" t="s">
        <v>57</v>
      </c>
      <c r="B123" s="42">
        <f t="shared" si="13"/>
        <v>1218</v>
      </c>
      <c r="C123" s="45">
        <v>71</v>
      </c>
      <c r="D123" s="45">
        <v>468</v>
      </c>
      <c r="E123" s="45">
        <v>679</v>
      </c>
    </row>
    <row r="124" spans="1:7" x14ac:dyDescent="0.25">
      <c r="A124" s="48" t="s">
        <v>58</v>
      </c>
      <c r="B124" s="42">
        <f t="shared" si="13"/>
        <v>918</v>
      </c>
      <c r="C124" s="45">
        <v>40</v>
      </c>
      <c r="D124" s="45">
        <v>408</v>
      </c>
      <c r="E124" s="45">
        <v>470</v>
      </c>
    </row>
    <row r="125" spans="1:7" x14ac:dyDescent="0.25">
      <c r="A125" s="48" t="s">
        <v>59</v>
      </c>
      <c r="B125" s="42">
        <f t="shared" si="13"/>
        <v>1478</v>
      </c>
      <c r="C125" s="45">
        <v>62</v>
      </c>
      <c r="D125" s="45">
        <v>752</v>
      </c>
      <c r="E125" s="45">
        <v>664</v>
      </c>
      <c r="G125" s="69">
        <f>SUM(B113:B125)</f>
        <v>24946</v>
      </c>
    </row>
  </sheetData>
  <mergeCells count="6">
    <mergeCell ref="A87:E87"/>
    <mergeCell ref="A1:G1"/>
    <mergeCell ref="B2:E2"/>
    <mergeCell ref="A3:E3"/>
    <mergeCell ref="C4:E4"/>
    <mergeCell ref="A46:E46"/>
  </mergeCells>
  <pageMargins left="0.70866141732283472" right="0.70866141732283472" top="0.74803149606299213" bottom="0.74803149606299213" header="0.31496062992125984" footer="0.31496062992125984"/>
  <pageSetup scale="130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9EB5-85D4-487F-8A04-54979A26A1FD}">
  <sheetPr>
    <pageSetUpPr fitToPage="1"/>
  </sheetPr>
  <dimension ref="A1:G143"/>
  <sheetViews>
    <sheetView tabSelected="1" workbookViewId="0">
      <selection sqref="A1:G1"/>
    </sheetView>
  </sheetViews>
  <sheetFormatPr baseColWidth="10" defaultRowHeight="13.2" x14ac:dyDescent="0.25"/>
  <cols>
    <col min="1" max="1" width="18.88671875" bestFit="1" customWidth="1"/>
    <col min="2" max="2" width="15.21875" customWidth="1"/>
    <col min="3" max="3" width="10.44140625" customWidth="1"/>
    <col min="4" max="4" width="17.5546875" customWidth="1"/>
    <col min="5" max="5" width="17.6640625" customWidth="1"/>
    <col min="7" max="7" width="9.21875" bestFit="1" customWidth="1"/>
  </cols>
  <sheetData>
    <row r="1" spans="1:7" ht="22.2" x14ac:dyDescent="0.25">
      <c r="A1" s="88" t="s">
        <v>120</v>
      </c>
      <c r="B1" s="88"/>
      <c r="C1" s="88"/>
      <c r="D1" s="88"/>
      <c r="E1" s="88"/>
      <c r="F1" s="88"/>
      <c r="G1" s="88"/>
    </row>
    <row r="2" spans="1:7" ht="22.8" x14ac:dyDescent="0.25">
      <c r="A2" s="30"/>
      <c r="B2" s="89" t="s">
        <v>113</v>
      </c>
      <c r="C2" s="89"/>
      <c r="D2" s="89"/>
      <c r="E2" s="89"/>
    </row>
    <row r="3" spans="1:7" ht="18" thickBot="1" x14ac:dyDescent="0.35">
      <c r="A3" s="85" t="s">
        <v>121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79601</v>
      </c>
      <c r="C6" s="74">
        <f>+C10+C22+C30</f>
        <v>3395</v>
      </c>
      <c r="D6" s="74">
        <f>+D10+D22+D30</f>
        <v>34532</v>
      </c>
      <c r="E6" s="74">
        <f>+E10+E22+E30</f>
        <v>41674</v>
      </c>
    </row>
    <row r="7" spans="1:7" ht="19.2" thickBot="1" x14ac:dyDescent="0.5">
      <c r="A7" s="41" t="s">
        <v>29</v>
      </c>
      <c r="B7" s="71">
        <f>+C7+D7+E7</f>
        <v>135</v>
      </c>
      <c r="C7" s="43">
        <f>+C55+C108</f>
        <v>1</v>
      </c>
      <c r="D7" s="43">
        <f>+D55+D108</f>
        <v>120</v>
      </c>
      <c r="E7" s="43">
        <f>+E55+E108</f>
        <v>14</v>
      </c>
      <c r="G7" s="76">
        <f>+B6+B7</f>
        <v>79736</v>
      </c>
    </row>
    <row r="8" spans="1:7" ht="19.2" thickBot="1" x14ac:dyDescent="0.5">
      <c r="A8" s="46"/>
      <c r="B8" s="75">
        <f>+B6+B7</f>
        <v>79736</v>
      </c>
      <c r="C8" s="75">
        <f>+C6+C7</f>
        <v>3396</v>
      </c>
      <c r="D8" s="75">
        <f>+D6+D7</f>
        <v>34652</v>
      </c>
      <c r="E8" s="75">
        <f>+E6+E7</f>
        <v>41688</v>
      </c>
      <c r="G8" s="77"/>
    </row>
    <row r="9" spans="1:7" ht="19.2" thickBot="1" x14ac:dyDescent="0.5">
      <c r="A9" s="30"/>
      <c r="B9" s="30"/>
      <c r="C9" s="40"/>
      <c r="D9" s="40"/>
      <c r="E9" s="40"/>
      <c r="G9" s="77"/>
    </row>
    <row r="10" spans="1:7" ht="19.2" thickBot="1" x14ac:dyDescent="0.5">
      <c r="A10" s="37" t="s">
        <v>28</v>
      </c>
      <c r="B10" s="64">
        <f>+C10+D10+E10</f>
        <v>8376</v>
      </c>
      <c r="C10" s="66">
        <f>SUM(C11:C20)</f>
        <v>399</v>
      </c>
      <c r="D10" s="67">
        <f>SUM(D11:D20)</f>
        <v>3639</v>
      </c>
      <c r="E10" s="68">
        <f>SUM(E11:E20)</f>
        <v>4338</v>
      </c>
      <c r="G10" s="77"/>
    </row>
    <row r="11" spans="1:7" ht="18.600000000000001" x14ac:dyDescent="0.45">
      <c r="A11" s="44" t="s">
        <v>30</v>
      </c>
      <c r="B11" s="65">
        <f>+C11+D11+E11</f>
        <v>547</v>
      </c>
      <c r="C11" s="43">
        <f t="shared" ref="C11:E20" si="0">+C58+C111</f>
        <v>11</v>
      </c>
      <c r="D11" s="43">
        <f t="shared" si="0"/>
        <v>225</v>
      </c>
      <c r="E11" s="43">
        <f t="shared" si="0"/>
        <v>311</v>
      </c>
      <c r="G11" s="77"/>
    </row>
    <row r="12" spans="1:7" ht="18.600000000000001" x14ac:dyDescent="0.45">
      <c r="A12" s="41" t="s">
        <v>31</v>
      </c>
      <c r="B12" s="65">
        <f t="shared" ref="B12:B20" si="1">+C12+D12+E12</f>
        <v>657</v>
      </c>
      <c r="C12" s="43">
        <f t="shared" si="0"/>
        <v>24</v>
      </c>
      <c r="D12" s="43">
        <f t="shared" si="0"/>
        <v>276</v>
      </c>
      <c r="E12" s="43">
        <f t="shared" si="0"/>
        <v>357</v>
      </c>
      <c r="G12" s="77"/>
    </row>
    <row r="13" spans="1:7" ht="18.600000000000001" x14ac:dyDescent="0.45">
      <c r="A13" s="44" t="s">
        <v>32</v>
      </c>
      <c r="B13" s="65">
        <f t="shared" si="1"/>
        <v>744</v>
      </c>
      <c r="C13" s="43">
        <f t="shared" si="0"/>
        <v>38</v>
      </c>
      <c r="D13" s="43">
        <f t="shared" si="0"/>
        <v>291</v>
      </c>
      <c r="E13" s="43">
        <f t="shared" si="0"/>
        <v>415</v>
      </c>
      <c r="G13" s="77"/>
    </row>
    <row r="14" spans="1:7" ht="18.600000000000001" x14ac:dyDescent="0.45">
      <c r="A14" s="44" t="s">
        <v>33</v>
      </c>
      <c r="B14" s="65">
        <f t="shared" si="1"/>
        <v>790</v>
      </c>
      <c r="C14" s="43">
        <f t="shared" si="0"/>
        <v>43</v>
      </c>
      <c r="D14" s="43">
        <f t="shared" si="0"/>
        <v>335</v>
      </c>
      <c r="E14" s="43">
        <f t="shared" si="0"/>
        <v>412</v>
      </c>
      <c r="G14" s="77"/>
    </row>
    <row r="15" spans="1:7" ht="18.600000000000001" x14ac:dyDescent="0.45">
      <c r="A15" s="44" t="s">
        <v>34</v>
      </c>
      <c r="B15" s="65">
        <f t="shared" si="1"/>
        <v>795</v>
      </c>
      <c r="C15" s="43">
        <f t="shared" si="0"/>
        <v>56</v>
      </c>
      <c r="D15" s="43">
        <f t="shared" si="0"/>
        <v>348</v>
      </c>
      <c r="E15" s="43">
        <f t="shared" si="0"/>
        <v>391</v>
      </c>
      <c r="G15" s="77"/>
    </row>
    <row r="16" spans="1:7" ht="18.600000000000001" x14ac:dyDescent="0.45">
      <c r="A16" s="44" t="s">
        <v>35</v>
      </c>
      <c r="B16" s="65">
        <f t="shared" si="1"/>
        <v>898</v>
      </c>
      <c r="C16" s="43">
        <f t="shared" si="0"/>
        <v>53</v>
      </c>
      <c r="D16" s="43">
        <f t="shared" si="0"/>
        <v>401</v>
      </c>
      <c r="E16" s="43">
        <f t="shared" si="0"/>
        <v>444</v>
      </c>
      <c r="G16" s="77"/>
    </row>
    <row r="17" spans="1:7" ht="18.600000000000001" x14ac:dyDescent="0.45">
      <c r="A17" s="44" t="s">
        <v>36</v>
      </c>
      <c r="B17" s="65">
        <f t="shared" si="1"/>
        <v>994</v>
      </c>
      <c r="C17" s="43">
        <f t="shared" si="0"/>
        <v>45</v>
      </c>
      <c r="D17" s="43">
        <f t="shared" si="0"/>
        <v>459</v>
      </c>
      <c r="E17" s="43">
        <f t="shared" si="0"/>
        <v>490</v>
      </c>
      <c r="G17" s="77"/>
    </row>
    <row r="18" spans="1:7" ht="18.600000000000001" x14ac:dyDescent="0.45">
      <c r="A18" s="44" t="s">
        <v>37</v>
      </c>
      <c r="B18" s="65">
        <f t="shared" si="1"/>
        <v>1006</v>
      </c>
      <c r="C18" s="43">
        <f t="shared" si="0"/>
        <v>48</v>
      </c>
      <c r="D18" s="43">
        <f t="shared" si="0"/>
        <v>435</v>
      </c>
      <c r="E18" s="43">
        <f t="shared" si="0"/>
        <v>523</v>
      </c>
      <c r="G18" s="77"/>
    </row>
    <row r="19" spans="1:7" ht="18.600000000000001" x14ac:dyDescent="0.45">
      <c r="A19" s="44" t="s">
        <v>38</v>
      </c>
      <c r="B19" s="65">
        <f t="shared" si="1"/>
        <v>950</v>
      </c>
      <c r="C19" s="43">
        <f t="shared" si="0"/>
        <v>34</v>
      </c>
      <c r="D19" s="43">
        <f t="shared" si="0"/>
        <v>420</v>
      </c>
      <c r="E19" s="43">
        <f t="shared" si="0"/>
        <v>496</v>
      </c>
      <c r="G19" s="77"/>
    </row>
    <row r="20" spans="1:7" ht="18.600000000000001" x14ac:dyDescent="0.45">
      <c r="A20" s="44" t="s">
        <v>39</v>
      </c>
      <c r="B20" s="65">
        <f t="shared" si="1"/>
        <v>995</v>
      </c>
      <c r="C20" s="43">
        <f t="shared" si="0"/>
        <v>47</v>
      </c>
      <c r="D20" s="43">
        <f t="shared" si="0"/>
        <v>449</v>
      </c>
      <c r="E20" s="43">
        <f t="shared" si="0"/>
        <v>499</v>
      </c>
      <c r="G20" s="76">
        <f>SUM(B11:B20)</f>
        <v>8376</v>
      </c>
    </row>
    <row r="21" spans="1:7" ht="19.2" thickBot="1" x14ac:dyDescent="0.5">
      <c r="A21" s="46"/>
      <c r="B21" s="30"/>
      <c r="C21" s="40"/>
      <c r="D21" s="40"/>
      <c r="E21" s="40"/>
      <c r="G21" s="77"/>
    </row>
    <row r="22" spans="1:7" ht="19.2" thickBot="1" x14ac:dyDescent="0.5">
      <c r="A22" s="37" t="s">
        <v>40</v>
      </c>
      <c r="B22" s="38">
        <f>+C22+D22+E22</f>
        <v>10185</v>
      </c>
      <c r="C22" s="39">
        <f>SUM(C23:C28)</f>
        <v>471</v>
      </c>
      <c r="D22" s="39">
        <f>SUM(D23:D28)</f>
        <v>4424</v>
      </c>
      <c r="E22" s="39">
        <f>SUM(E23:E28)</f>
        <v>5290</v>
      </c>
      <c r="G22" s="77"/>
    </row>
    <row r="23" spans="1:7" ht="18.600000000000001" x14ac:dyDescent="0.45">
      <c r="A23" s="41" t="s">
        <v>41</v>
      </c>
      <c r="B23" s="42">
        <f>+C23+D23+E23</f>
        <v>1110</v>
      </c>
      <c r="C23" s="43">
        <f t="shared" ref="C23:E28" si="2">+C70+C123</f>
        <v>49</v>
      </c>
      <c r="D23" s="43">
        <f t="shared" si="2"/>
        <v>490</v>
      </c>
      <c r="E23" s="43">
        <f t="shared" si="2"/>
        <v>571</v>
      </c>
      <c r="G23" s="77"/>
    </row>
    <row r="24" spans="1:7" ht="18.600000000000001" x14ac:dyDescent="0.45">
      <c r="A24" s="41" t="s">
        <v>42</v>
      </c>
      <c r="B24" s="42">
        <f t="shared" ref="B24:B28" si="3">+C24+D24+E24</f>
        <v>1121</v>
      </c>
      <c r="C24" s="43">
        <f t="shared" si="2"/>
        <v>49</v>
      </c>
      <c r="D24" s="43">
        <f t="shared" si="2"/>
        <v>459</v>
      </c>
      <c r="E24" s="43">
        <f t="shared" si="2"/>
        <v>613</v>
      </c>
      <c r="G24" s="77"/>
    </row>
    <row r="25" spans="1:7" ht="18.600000000000001" x14ac:dyDescent="0.45">
      <c r="A25" s="41" t="s">
        <v>43</v>
      </c>
      <c r="B25" s="42">
        <f t="shared" si="3"/>
        <v>1040</v>
      </c>
      <c r="C25" s="43">
        <f t="shared" si="2"/>
        <v>44</v>
      </c>
      <c r="D25" s="43">
        <f t="shared" si="2"/>
        <v>469</v>
      </c>
      <c r="E25" s="43">
        <f t="shared" si="2"/>
        <v>527</v>
      </c>
      <c r="G25" s="77"/>
    </row>
    <row r="26" spans="1:7" ht="18.600000000000001" x14ac:dyDescent="0.45">
      <c r="A26" s="41" t="s">
        <v>44</v>
      </c>
      <c r="B26" s="42">
        <f t="shared" si="3"/>
        <v>983</v>
      </c>
      <c r="C26" s="43">
        <f t="shared" si="2"/>
        <v>38</v>
      </c>
      <c r="D26" s="43">
        <f t="shared" si="2"/>
        <v>417</v>
      </c>
      <c r="E26" s="43">
        <f t="shared" si="2"/>
        <v>528</v>
      </c>
      <c r="G26" s="77"/>
    </row>
    <row r="27" spans="1:7" ht="18.600000000000001" x14ac:dyDescent="0.45">
      <c r="A27" s="41" t="s">
        <v>45</v>
      </c>
      <c r="B27" s="42">
        <f t="shared" si="3"/>
        <v>978</v>
      </c>
      <c r="C27" s="43">
        <f t="shared" si="2"/>
        <v>46</v>
      </c>
      <c r="D27" s="43">
        <f t="shared" si="2"/>
        <v>437</v>
      </c>
      <c r="E27" s="43">
        <f t="shared" si="2"/>
        <v>495</v>
      </c>
      <c r="G27" s="77"/>
    </row>
    <row r="28" spans="1:7" ht="18.600000000000001" x14ac:dyDescent="0.45">
      <c r="A28" s="44" t="s">
        <v>46</v>
      </c>
      <c r="B28" s="42">
        <f t="shared" si="3"/>
        <v>4953</v>
      </c>
      <c r="C28" s="43">
        <f t="shared" si="2"/>
        <v>245</v>
      </c>
      <c r="D28" s="43">
        <f t="shared" si="2"/>
        <v>2152</v>
      </c>
      <c r="E28" s="43">
        <f t="shared" si="2"/>
        <v>2556</v>
      </c>
      <c r="G28" s="76">
        <f>SUM(B23:B28)</f>
        <v>10185</v>
      </c>
    </row>
    <row r="29" spans="1:7" ht="19.2" thickBot="1" x14ac:dyDescent="0.5">
      <c r="A29" s="47"/>
      <c r="B29" s="30"/>
      <c r="C29" s="40"/>
      <c r="D29" s="40"/>
      <c r="E29" s="40"/>
      <c r="G29" s="77"/>
    </row>
    <row r="30" spans="1:7" ht="19.2" thickBot="1" x14ac:dyDescent="0.5">
      <c r="A30" s="37" t="s">
        <v>47</v>
      </c>
      <c r="B30" s="38">
        <f>+C30+D30+E30</f>
        <v>61040</v>
      </c>
      <c r="C30" s="39">
        <f>SUM(C31:C43)</f>
        <v>2525</v>
      </c>
      <c r="D30" s="39">
        <f>SUM(D31:D43)</f>
        <v>26469</v>
      </c>
      <c r="E30" s="39">
        <f>SUM(E31:E43)</f>
        <v>32046</v>
      </c>
      <c r="G30" s="77"/>
    </row>
    <row r="31" spans="1:7" ht="18.600000000000001" x14ac:dyDescent="0.45">
      <c r="A31" s="48" t="s">
        <v>21</v>
      </c>
      <c r="B31" s="42">
        <f>+C31+D31+E31</f>
        <v>4776</v>
      </c>
      <c r="C31" s="43">
        <f t="shared" ref="C31:E43" si="4">+C78+C131</f>
        <v>198</v>
      </c>
      <c r="D31" s="43">
        <f t="shared" si="4"/>
        <v>2085</v>
      </c>
      <c r="E31" s="43">
        <f t="shared" si="4"/>
        <v>2493</v>
      </c>
      <c r="G31" s="77"/>
    </row>
    <row r="32" spans="1:7" ht="18.600000000000001" x14ac:dyDescent="0.45">
      <c r="A32" s="48" t="s">
        <v>48</v>
      </c>
      <c r="B32" s="42">
        <f t="shared" ref="B32:B43" si="5">+C32+D32+E32</f>
        <v>6133</v>
      </c>
      <c r="C32" s="43">
        <f t="shared" si="4"/>
        <v>246</v>
      </c>
      <c r="D32" s="43">
        <f t="shared" si="4"/>
        <v>2778</v>
      </c>
      <c r="E32" s="43">
        <f t="shared" si="4"/>
        <v>3109</v>
      </c>
      <c r="G32" s="77"/>
    </row>
    <row r="33" spans="1:7" ht="18.600000000000001" x14ac:dyDescent="0.45">
      <c r="A33" s="48" t="s">
        <v>49</v>
      </c>
      <c r="B33" s="42">
        <f t="shared" si="5"/>
        <v>6742</v>
      </c>
      <c r="C33" s="43">
        <f t="shared" si="4"/>
        <v>263</v>
      </c>
      <c r="D33" s="43">
        <f t="shared" si="4"/>
        <v>3061</v>
      </c>
      <c r="E33" s="43">
        <f t="shared" si="4"/>
        <v>3418</v>
      </c>
      <c r="G33" s="77"/>
    </row>
    <row r="34" spans="1:7" ht="18.600000000000001" x14ac:dyDescent="0.45">
      <c r="A34" s="48" t="s">
        <v>50</v>
      </c>
      <c r="B34" s="42">
        <f t="shared" si="5"/>
        <v>6527</v>
      </c>
      <c r="C34" s="43">
        <f t="shared" si="4"/>
        <v>278</v>
      </c>
      <c r="D34" s="43">
        <f t="shared" si="4"/>
        <v>2892</v>
      </c>
      <c r="E34" s="43">
        <f t="shared" si="4"/>
        <v>3357</v>
      </c>
      <c r="G34" s="77"/>
    </row>
    <row r="35" spans="1:7" ht="18.600000000000001" x14ac:dyDescent="0.45">
      <c r="A35" s="48" t="s">
        <v>51</v>
      </c>
      <c r="B35" s="42">
        <f t="shared" si="5"/>
        <v>5451</v>
      </c>
      <c r="C35" s="43">
        <f t="shared" si="4"/>
        <v>222</v>
      </c>
      <c r="D35" s="43">
        <f t="shared" si="4"/>
        <v>2413</v>
      </c>
      <c r="E35" s="43">
        <f t="shared" si="4"/>
        <v>2816</v>
      </c>
      <c r="G35" s="77"/>
    </row>
    <row r="36" spans="1:7" ht="18.600000000000001" x14ac:dyDescent="0.45">
      <c r="A36" s="48" t="s">
        <v>52</v>
      </c>
      <c r="B36" s="42">
        <f t="shared" si="5"/>
        <v>4448</v>
      </c>
      <c r="C36" s="43">
        <f t="shared" si="4"/>
        <v>160</v>
      </c>
      <c r="D36" s="43">
        <f t="shared" si="4"/>
        <v>1939</v>
      </c>
      <c r="E36" s="43">
        <f t="shared" si="4"/>
        <v>2349</v>
      </c>
      <c r="G36" s="77"/>
    </row>
    <row r="37" spans="1:7" ht="18.600000000000001" x14ac:dyDescent="0.45">
      <c r="A37" s="48" t="s">
        <v>53</v>
      </c>
      <c r="B37" s="42">
        <f t="shared" si="5"/>
        <v>4426</v>
      </c>
      <c r="C37" s="43">
        <f t="shared" si="4"/>
        <v>159</v>
      </c>
      <c r="D37" s="43">
        <f t="shared" si="4"/>
        <v>1879</v>
      </c>
      <c r="E37" s="43">
        <f t="shared" si="4"/>
        <v>2388</v>
      </c>
      <c r="G37" s="77"/>
    </row>
    <row r="38" spans="1:7" ht="18.600000000000001" x14ac:dyDescent="0.45">
      <c r="A38" s="48" t="s">
        <v>54</v>
      </c>
      <c r="B38" s="42">
        <f t="shared" si="5"/>
        <v>4327</v>
      </c>
      <c r="C38" s="43">
        <f t="shared" si="4"/>
        <v>183</v>
      </c>
      <c r="D38" s="43">
        <f t="shared" si="4"/>
        <v>1866</v>
      </c>
      <c r="E38" s="43">
        <f t="shared" si="4"/>
        <v>2278</v>
      </c>
      <c r="G38" s="77"/>
    </row>
    <row r="39" spans="1:7" ht="18.600000000000001" x14ac:dyDescent="0.45">
      <c r="A39" s="48" t="s">
        <v>55</v>
      </c>
      <c r="B39" s="42">
        <f t="shared" si="5"/>
        <v>4426</v>
      </c>
      <c r="C39" s="43">
        <f t="shared" si="4"/>
        <v>203</v>
      </c>
      <c r="D39" s="43">
        <f t="shared" si="4"/>
        <v>1778</v>
      </c>
      <c r="E39" s="43">
        <f t="shared" si="4"/>
        <v>2445</v>
      </c>
      <c r="G39" s="77"/>
    </row>
    <row r="40" spans="1:7" ht="18.600000000000001" x14ac:dyDescent="0.45">
      <c r="A40" s="49" t="s">
        <v>56</v>
      </c>
      <c r="B40" s="42">
        <f t="shared" si="5"/>
        <v>4068</v>
      </c>
      <c r="C40" s="43">
        <f t="shared" si="4"/>
        <v>190</v>
      </c>
      <c r="D40" s="43">
        <f t="shared" si="4"/>
        <v>1665</v>
      </c>
      <c r="E40" s="43">
        <f t="shared" si="4"/>
        <v>2213</v>
      </c>
      <c r="G40" s="77"/>
    </row>
    <row r="41" spans="1:7" ht="18.600000000000001" x14ac:dyDescent="0.45">
      <c r="A41" s="48" t="s">
        <v>57</v>
      </c>
      <c r="B41" s="42">
        <f t="shared" si="5"/>
        <v>3141</v>
      </c>
      <c r="C41" s="43">
        <f t="shared" si="4"/>
        <v>136</v>
      </c>
      <c r="D41" s="43">
        <f t="shared" si="4"/>
        <v>1283</v>
      </c>
      <c r="E41" s="43">
        <f t="shared" si="4"/>
        <v>1722</v>
      </c>
      <c r="G41" s="77"/>
    </row>
    <row r="42" spans="1:7" ht="18.600000000000001" x14ac:dyDescent="0.45">
      <c r="A42" s="48" t="s">
        <v>58</v>
      </c>
      <c r="B42" s="42">
        <f t="shared" si="5"/>
        <v>2462</v>
      </c>
      <c r="C42" s="43">
        <f t="shared" si="4"/>
        <v>135</v>
      </c>
      <c r="D42" s="43">
        <f t="shared" si="4"/>
        <v>996</v>
      </c>
      <c r="E42" s="43">
        <f t="shared" si="4"/>
        <v>1331</v>
      </c>
      <c r="G42" s="77"/>
    </row>
    <row r="43" spans="1:7" ht="18.600000000000001" x14ac:dyDescent="0.45">
      <c r="A43" s="48" t="s">
        <v>59</v>
      </c>
      <c r="B43" s="42">
        <f t="shared" si="5"/>
        <v>4113</v>
      </c>
      <c r="C43" s="43">
        <f t="shared" si="4"/>
        <v>152</v>
      </c>
      <c r="D43" s="43">
        <f t="shared" si="4"/>
        <v>1834</v>
      </c>
      <c r="E43" s="43">
        <f t="shared" si="4"/>
        <v>2127</v>
      </c>
      <c r="G43" s="76">
        <f>SUM(B31:B43)</f>
        <v>61040</v>
      </c>
    </row>
    <row r="44" spans="1:7" ht="18.600000000000001" x14ac:dyDescent="0.45">
      <c r="A44" s="50"/>
      <c r="B44" s="51"/>
      <c r="C44" s="51"/>
      <c r="D44" s="51"/>
      <c r="E44" s="51"/>
      <c r="G44" s="77"/>
    </row>
    <row r="45" spans="1:7" ht="18.600000000000001" x14ac:dyDescent="0.45">
      <c r="A45" s="30"/>
      <c r="B45" s="30"/>
      <c r="C45" s="40"/>
      <c r="D45" s="40"/>
      <c r="E45" s="40"/>
      <c r="G45" s="77"/>
    </row>
    <row r="46" spans="1:7" ht="18.600000000000001" x14ac:dyDescent="0.45">
      <c r="A46" s="30"/>
      <c r="B46" s="30"/>
      <c r="C46" s="40"/>
      <c r="D46" s="40"/>
      <c r="E46" s="40"/>
      <c r="G46" s="77"/>
    </row>
    <row r="47" spans="1:7" ht="18.600000000000001" x14ac:dyDescent="0.45">
      <c r="A47" s="30"/>
      <c r="B47" s="30"/>
      <c r="C47" s="40"/>
      <c r="D47" s="40"/>
      <c r="E47" s="40"/>
      <c r="G47" s="77"/>
    </row>
    <row r="48" spans="1:7" ht="18.600000000000001" x14ac:dyDescent="0.45">
      <c r="A48" s="30"/>
      <c r="B48" s="30"/>
      <c r="C48" s="40"/>
      <c r="D48" s="40"/>
      <c r="E48" s="40"/>
      <c r="G48" s="77"/>
    </row>
    <row r="49" spans="1:7" ht="18.600000000000001" x14ac:dyDescent="0.45">
      <c r="A49" s="30"/>
      <c r="B49" s="30"/>
      <c r="C49" s="40"/>
      <c r="D49" s="40"/>
      <c r="E49" s="40"/>
      <c r="G49" s="77"/>
    </row>
    <row r="50" spans="1:7" ht="18.600000000000001" x14ac:dyDescent="0.45">
      <c r="A50" s="30"/>
      <c r="B50" s="30"/>
      <c r="C50" s="40"/>
      <c r="D50" s="40"/>
      <c r="E50" s="40"/>
      <c r="G50" s="77"/>
    </row>
    <row r="51" spans="1:7" ht="18.600000000000001" x14ac:dyDescent="0.45">
      <c r="A51" s="30"/>
      <c r="B51" s="30"/>
      <c r="C51" s="40"/>
      <c r="D51" s="40"/>
      <c r="E51" s="40"/>
      <c r="G51" s="77"/>
    </row>
    <row r="52" spans="1:7" ht="21" x14ac:dyDescent="0.5">
      <c r="A52" s="90" t="s">
        <v>122</v>
      </c>
      <c r="B52" s="91"/>
      <c r="C52" s="91"/>
      <c r="D52" s="91"/>
      <c r="E52" s="91"/>
      <c r="G52" s="77"/>
    </row>
    <row r="53" spans="1:7" ht="19.2" thickBot="1" x14ac:dyDescent="0.5">
      <c r="A53" s="52"/>
      <c r="B53" s="30"/>
      <c r="C53" s="40"/>
      <c r="D53" s="40"/>
      <c r="E53" s="40"/>
      <c r="G53" s="77"/>
    </row>
    <row r="54" spans="1:7" ht="19.2" thickBot="1" x14ac:dyDescent="0.5">
      <c r="A54" s="37" t="s">
        <v>61</v>
      </c>
      <c r="B54" s="38">
        <f>+C54+D54+E54</f>
        <v>44453</v>
      </c>
      <c r="C54" s="39">
        <f>+C57+C69+C77+C55</f>
        <v>1849</v>
      </c>
      <c r="D54" s="39">
        <f>+D57+D69+D77+D55</f>
        <v>18951</v>
      </c>
      <c r="E54" s="39">
        <f>+E57+E69+E77+E55</f>
        <v>23653</v>
      </c>
      <c r="G54" s="77"/>
    </row>
    <row r="55" spans="1:7" ht="18.600000000000001" x14ac:dyDescent="0.45">
      <c r="A55" s="44" t="s">
        <v>62</v>
      </c>
      <c r="B55" s="42">
        <f>+C55+D55+E55</f>
        <v>42</v>
      </c>
      <c r="C55" s="43"/>
      <c r="D55" s="43">
        <v>37</v>
      </c>
      <c r="E55" s="43">
        <v>5</v>
      </c>
      <c r="G55" s="76">
        <f>+B54+B55</f>
        <v>44495</v>
      </c>
    </row>
    <row r="56" spans="1:7" ht="19.2" thickBot="1" x14ac:dyDescent="0.5">
      <c r="A56" s="30"/>
      <c r="B56" s="30"/>
      <c r="C56" s="40"/>
      <c r="D56" s="40"/>
      <c r="E56" s="40"/>
      <c r="G56" s="77"/>
    </row>
    <row r="57" spans="1:7" ht="19.2" thickBot="1" x14ac:dyDescent="0.5">
      <c r="A57" s="37" t="s">
        <v>28</v>
      </c>
      <c r="B57" s="38">
        <f>+C57+D57+E57</f>
        <v>4093</v>
      </c>
      <c r="C57" s="39">
        <f>SUM(C58:C67)</f>
        <v>190</v>
      </c>
      <c r="D57" s="39">
        <f>SUM(D58:D67)</f>
        <v>1776</v>
      </c>
      <c r="E57" s="39">
        <f>SUM(E58:E67)</f>
        <v>2127</v>
      </c>
      <c r="G57" s="77"/>
    </row>
    <row r="58" spans="1:7" ht="18.600000000000001" x14ac:dyDescent="0.45">
      <c r="A58" s="44" t="s">
        <v>30</v>
      </c>
      <c r="B58" s="42">
        <f>+C58+D58+E58</f>
        <v>260</v>
      </c>
      <c r="C58" s="45">
        <v>8</v>
      </c>
      <c r="D58" s="45">
        <v>114</v>
      </c>
      <c r="E58" s="45">
        <v>138</v>
      </c>
      <c r="G58" s="77"/>
    </row>
    <row r="59" spans="1:7" ht="18.600000000000001" x14ac:dyDescent="0.45">
      <c r="A59" s="41" t="s">
        <v>31</v>
      </c>
      <c r="B59" s="42">
        <f t="shared" ref="B59:B67" si="6">+C59+D59+E59</f>
        <v>317</v>
      </c>
      <c r="C59" s="45">
        <v>14</v>
      </c>
      <c r="D59" s="45">
        <v>127</v>
      </c>
      <c r="E59" s="45">
        <v>176</v>
      </c>
      <c r="G59" s="77"/>
    </row>
    <row r="60" spans="1:7" ht="18.600000000000001" x14ac:dyDescent="0.45">
      <c r="A60" s="44" t="s">
        <v>32</v>
      </c>
      <c r="B60" s="42">
        <f t="shared" si="6"/>
        <v>351</v>
      </c>
      <c r="C60" s="45">
        <v>18</v>
      </c>
      <c r="D60" s="45">
        <v>139</v>
      </c>
      <c r="E60" s="45">
        <v>194</v>
      </c>
      <c r="G60" s="77"/>
    </row>
    <row r="61" spans="1:7" ht="18.600000000000001" x14ac:dyDescent="0.45">
      <c r="A61" s="44" t="s">
        <v>33</v>
      </c>
      <c r="B61" s="42">
        <f t="shared" si="6"/>
        <v>404</v>
      </c>
      <c r="C61" s="45">
        <v>20</v>
      </c>
      <c r="D61" s="45">
        <v>169</v>
      </c>
      <c r="E61" s="45">
        <v>215</v>
      </c>
      <c r="G61" s="77"/>
    </row>
    <row r="62" spans="1:7" ht="18.600000000000001" x14ac:dyDescent="0.45">
      <c r="A62" s="44" t="s">
        <v>34</v>
      </c>
      <c r="B62" s="42">
        <f t="shared" si="6"/>
        <v>395</v>
      </c>
      <c r="C62" s="45">
        <v>26</v>
      </c>
      <c r="D62" s="45">
        <v>177</v>
      </c>
      <c r="E62" s="45">
        <v>192</v>
      </c>
      <c r="G62" s="77"/>
    </row>
    <row r="63" spans="1:7" ht="18.600000000000001" x14ac:dyDescent="0.45">
      <c r="A63" s="44" t="s">
        <v>35</v>
      </c>
      <c r="B63" s="42">
        <f t="shared" si="6"/>
        <v>444</v>
      </c>
      <c r="C63" s="45">
        <v>29</v>
      </c>
      <c r="D63" s="45">
        <v>196</v>
      </c>
      <c r="E63" s="45">
        <v>219</v>
      </c>
      <c r="G63" s="77"/>
    </row>
    <row r="64" spans="1:7" ht="18.600000000000001" x14ac:dyDescent="0.45">
      <c r="A64" s="44" t="s">
        <v>36</v>
      </c>
      <c r="B64" s="42">
        <f t="shared" si="6"/>
        <v>477</v>
      </c>
      <c r="C64" s="45">
        <v>24</v>
      </c>
      <c r="D64" s="45">
        <v>212</v>
      </c>
      <c r="E64" s="45">
        <v>241</v>
      </c>
      <c r="G64" s="77"/>
    </row>
    <row r="65" spans="1:7" ht="18.600000000000001" x14ac:dyDescent="0.45">
      <c r="A65" s="44" t="s">
        <v>37</v>
      </c>
      <c r="B65" s="42">
        <f t="shared" si="6"/>
        <v>504</v>
      </c>
      <c r="C65" s="45">
        <v>18</v>
      </c>
      <c r="D65" s="45">
        <v>217</v>
      </c>
      <c r="E65" s="45">
        <v>269</v>
      </c>
      <c r="G65" s="77"/>
    </row>
    <row r="66" spans="1:7" ht="18.600000000000001" x14ac:dyDescent="0.45">
      <c r="A66" s="44" t="s">
        <v>38</v>
      </c>
      <c r="B66" s="42">
        <f t="shared" si="6"/>
        <v>468</v>
      </c>
      <c r="C66" s="45">
        <v>18</v>
      </c>
      <c r="D66" s="45">
        <v>215</v>
      </c>
      <c r="E66" s="45">
        <v>235</v>
      </c>
      <c r="G66" s="77"/>
    </row>
    <row r="67" spans="1:7" ht="18.600000000000001" x14ac:dyDescent="0.45">
      <c r="A67" s="44" t="s">
        <v>39</v>
      </c>
      <c r="B67" s="42">
        <f t="shared" si="6"/>
        <v>473</v>
      </c>
      <c r="C67" s="45">
        <v>15</v>
      </c>
      <c r="D67" s="45">
        <v>210</v>
      </c>
      <c r="E67" s="45">
        <v>248</v>
      </c>
      <c r="G67" s="76">
        <f>SUM(B58:B67)</f>
        <v>4093</v>
      </c>
    </row>
    <row r="68" spans="1:7" ht="19.2" thickBot="1" x14ac:dyDescent="0.5">
      <c r="A68" s="46"/>
      <c r="B68" s="30"/>
      <c r="C68" s="40"/>
      <c r="D68" s="40"/>
      <c r="E68" s="40"/>
      <c r="G68" s="77"/>
    </row>
    <row r="69" spans="1:7" ht="19.2" thickBot="1" x14ac:dyDescent="0.5">
      <c r="A69" s="37" t="s">
        <v>40</v>
      </c>
      <c r="B69" s="38">
        <f>+C69+D69+E69</f>
        <v>5103</v>
      </c>
      <c r="C69" s="39">
        <f>SUM(C70:C75)</f>
        <v>231</v>
      </c>
      <c r="D69" s="39">
        <f>SUM(D70:D75)</f>
        <v>2210</v>
      </c>
      <c r="E69" s="39">
        <f>SUM(E70:E75)</f>
        <v>2662</v>
      </c>
      <c r="G69" s="77"/>
    </row>
    <row r="70" spans="1:7" ht="18.600000000000001" x14ac:dyDescent="0.45">
      <c r="A70" s="41" t="s">
        <v>41</v>
      </c>
      <c r="B70" s="42">
        <f>+C70+D70+E70</f>
        <v>550</v>
      </c>
      <c r="C70" s="43">
        <v>22</v>
      </c>
      <c r="D70" s="43">
        <v>243</v>
      </c>
      <c r="E70" s="43">
        <v>285</v>
      </c>
      <c r="G70" s="77"/>
    </row>
    <row r="71" spans="1:7" ht="18.600000000000001" x14ac:dyDescent="0.45">
      <c r="A71" s="41" t="s">
        <v>42</v>
      </c>
      <c r="B71" s="42">
        <f t="shared" ref="B71:B75" si="7">+C71+D71+E71</f>
        <v>571</v>
      </c>
      <c r="C71" s="45">
        <v>26</v>
      </c>
      <c r="D71" s="45">
        <v>250</v>
      </c>
      <c r="E71" s="45">
        <v>295</v>
      </c>
      <c r="G71" s="77"/>
    </row>
    <row r="72" spans="1:7" ht="18.600000000000001" x14ac:dyDescent="0.45">
      <c r="A72" s="41" t="s">
        <v>43</v>
      </c>
      <c r="B72" s="42">
        <f t="shared" si="7"/>
        <v>523</v>
      </c>
      <c r="C72" s="45">
        <v>26</v>
      </c>
      <c r="D72" s="45">
        <v>231</v>
      </c>
      <c r="E72" s="45">
        <v>266</v>
      </c>
      <c r="G72" s="77"/>
    </row>
    <row r="73" spans="1:7" ht="18.600000000000001" x14ac:dyDescent="0.45">
      <c r="A73" s="41" t="s">
        <v>44</v>
      </c>
      <c r="B73" s="42">
        <f t="shared" si="7"/>
        <v>473</v>
      </c>
      <c r="C73" s="45">
        <v>25</v>
      </c>
      <c r="D73" s="45">
        <v>202</v>
      </c>
      <c r="E73" s="45">
        <v>246</v>
      </c>
      <c r="G73" s="77"/>
    </row>
    <row r="74" spans="1:7" ht="18.600000000000001" x14ac:dyDescent="0.45">
      <c r="A74" s="41" t="s">
        <v>45</v>
      </c>
      <c r="B74" s="42">
        <f t="shared" si="7"/>
        <v>495</v>
      </c>
      <c r="C74" s="45">
        <v>20</v>
      </c>
      <c r="D74" s="45">
        <v>209</v>
      </c>
      <c r="E74" s="45">
        <v>266</v>
      </c>
      <c r="G74" s="77"/>
    </row>
    <row r="75" spans="1:7" ht="18.600000000000001" x14ac:dyDescent="0.45">
      <c r="A75" s="44" t="s">
        <v>46</v>
      </c>
      <c r="B75" s="42">
        <f t="shared" si="7"/>
        <v>2491</v>
      </c>
      <c r="C75" s="45">
        <v>112</v>
      </c>
      <c r="D75" s="45">
        <v>1075</v>
      </c>
      <c r="E75" s="45">
        <v>1304</v>
      </c>
      <c r="G75" s="76">
        <f>SUM(B70:B75)</f>
        <v>5103</v>
      </c>
    </row>
    <row r="76" spans="1:7" ht="19.2" thickBot="1" x14ac:dyDescent="0.5">
      <c r="A76" s="47"/>
      <c r="B76" s="30"/>
      <c r="C76" s="40"/>
      <c r="D76" s="40"/>
      <c r="E76" s="40"/>
      <c r="G76" s="77"/>
    </row>
    <row r="77" spans="1:7" ht="19.2" thickBot="1" x14ac:dyDescent="0.5">
      <c r="A77" s="37" t="s">
        <v>47</v>
      </c>
      <c r="B77" s="38">
        <f>+C77+D77+E77</f>
        <v>35215</v>
      </c>
      <c r="C77" s="39">
        <f>SUM(C78:C90)</f>
        <v>1428</v>
      </c>
      <c r="D77" s="39">
        <f>SUM(D78:D90)</f>
        <v>14928</v>
      </c>
      <c r="E77" s="39">
        <f>SUM(E78:E90)</f>
        <v>18859</v>
      </c>
      <c r="G77" s="77"/>
    </row>
    <row r="78" spans="1:7" ht="18.600000000000001" x14ac:dyDescent="0.45">
      <c r="A78" s="48" t="s">
        <v>21</v>
      </c>
      <c r="B78" s="42">
        <f>+C78+D78+E78</f>
        <v>2579</v>
      </c>
      <c r="C78" s="43">
        <v>105</v>
      </c>
      <c r="D78" s="43">
        <v>1077</v>
      </c>
      <c r="E78" s="43">
        <v>1397</v>
      </c>
      <c r="G78" s="77"/>
    </row>
    <row r="79" spans="1:7" ht="18.600000000000001" x14ac:dyDescent="0.45">
      <c r="A79" s="48" t="s">
        <v>48</v>
      </c>
      <c r="B79" s="42">
        <f t="shared" ref="B79:B90" si="8">+C79+D79+E79</f>
        <v>3472</v>
      </c>
      <c r="C79" s="45">
        <v>145</v>
      </c>
      <c r="D79" s="45">
        <v>1546</v>
      </c>
      <c r="E79" s="45">
        <v>1781</v>
      </c>
      <c r="G79" s="77"/>
    </row>
    <row r="80" spans="1:7" ht="18.600000000000001" x14ac:dyDescent="0.45">
      <c r="A80" s="48" t="s">
        <v>49</v>
      </c>
      <c r="B80" s="42">
        <f t="shared" si="8"/>
        <v>3863</v>
      </c>
      <c r="C80" s="45">
        <v>158</v>
      </c>
      <c r="D80" s="45">
        <v>1674</v>
      </c>
      <c r="E80" s="45">
        <v>2031</v>
      </c>
      <c r="G80" s="77"/>
    </row>
    <row r="81" spans="1:7" ht="18.600000000000001" x14ac:dyDescent="0.45">
      <c r="A81" s="48" t="s">
        <v>50</v>
      </c>
      <c r="B81" s="42">
        <f t="shared" si="8"/>
        <v>3662</v>
      </c>
      <c r="C81" s="45">
        <v>155</v>
      </c>
      <c r="D81" s="45">
        <v>1567</v>
      </c>
      <c r="E81" s="45">
        <v>1940</v>
      </c>
      <c r="G81" s="77"/>
    </row>
    <row r="82" spans="1:7" ht="18.600000000000001" x14ac:dyDescent="0.45">
      <c r="A82" s="48" t="s">
        <v>51</v>
      </c>
      <c r="B82" s="42">
        <f t="shared" si="8"/>
        <v>3106</v>
      </c>
      <c r="C82" s="45">
        <v>118</v>
      </c>
      <c r="D82" s="45">
        <v>1370</v>
      </c>
      <c r="E82" s="45">
        <v>1618</v>
      </c>
      <c r="G82" s="77"/>
    </row>
    <row r="83" spans="1:7" ht="18.600000000000001" x14ac:dyDescent="0.45">
      <c r="A83" s="48" t="s">
        <v>52</v>
      </c>
      <c r="B83" s="42">
        <f t="shared" si="8"/>
        <v>2545</v>
      </c>
      <c r="C83" s="45">
        <v>96</v>
      </c>
      <c r="D83" s="45">
        <v>1105</v>
      </c>
      <c r="E83" s="45">
        <v>1344</v>
      </c>
      <c r="G83" s="77"/>
    </row>
    <row r="84" spans="1:7" ht="18.600000000000001" x14ac:dyDescent="0.45">
      <c r="A84" s="48" t="s">
        <v>53</v>
      </c>
      <c r="B84" s="42">
        <f t="shared" si="8"/>
        <v>2557</v>
      </c>
      <c r="C84" s="45">
        <v>88</v>
      </c>
      <c r="D84" s="45">
        <v>1084</v>
      </c>
      <c r="E84" s="45">
        <v>1385</v>
      </c>
      <c r="G84" s="77"/>
    </row>
    <row r="85" spans="1:7" ht="18.600000000000001" x14ac:dyDescent="0.45">
      <c r="A85" s="48" t="s">
        <v>54</v>
      </c>
      <c r="B85" s="42">
        <f t="shared" si="8"/>
        <v>2518</v>
      </c>
      <c r="C85" s="45">
        <v>108</v>
      </c>
      <c r="D85" s="45">
        <v>1083</v>
      </c>
      <c r="E85" s="45">
        <v>1327</v>
      </c>
      <c r="G85" s="77"/>
    </row>
    <row r="86" spans="1:7" ht="18.600000000000001" x14ac:dyDescent="0.45">
      <c r="A86" s="48" t="s">
        <v>55</v>
      </c>
      <c r="B86" s="42">
        <f t="shared" si="8"/>
        <v>2550</v>
      </c>
      <c r="C86" s="45">
        <v>105</v>
      </c>
      <c r="D86" s="45">
        <v>1027</v>
      </c>
      <c r="E86" s="45">
        <v>1418</v>
      </c>
      <c r="G86" s="77"/>
    </row>
    <row r="87" spans="1:7" ht="18.600000000000001" x14ac:dyDescent="0.45">
      <c r="A87" s="49" t="s">
        <v>56</v>
      </c>
      <c r="B87" s="42">
        <f t="shared" si="8"/>
        <v>2359</v>
      </c>
      <c r="C87" s="45">
        <v>99</v>
      </c>
      <c r="D87" s="45">
        <v>955</v>
      </c>
      <c r="E87" s="45">
        <v>1305</v>
      </c>
      <c r="G87" s="77"/>
    </row>
    <row r="88" spans="1:7" ht="18.600000000000001" x14ac:dyDescent="0.45">
      <c r="A88" s="48" t="s">
        <v>57</v>
      </c>
      <c r="B88" s="42">
        <f t="shared" si="8"/>
        <v>1813</v>
      </c>
      <c r="C88" s="45">
        <v>66</v>
      </c>
      <c r="D88" s="45">
        <v>754</v>
      </c>
      <c r="E88" s="45">
        <v>993</v>
      </c>
      <c r="G88" s="77"/>
    </row>
    <row r="89" spans="1:7" ht="18.600000000000001" x14ac:dyDescent="0.45">
      <c r="A89" s="48" t="s">
        <v>58</v>
      </c>
      <c r="B89" s="42">
        <f t="shared" si="8"/>
        <v>1555</v>
      </c>
      <c r="C89" s="45">
        <v>89</v>
      </c>
      <c r="D89" s="45">
        <v>619</v>
      </c>
      <c r="E89" s="45">
        <v>847</v>
      </c>
      <c r="G89" s="77"/>
    </row>
    <row r="90" spans="1:7" ht="18.600000000000001" x14ac:dyDescent="0.45">
      <c r="A90" s="48" t="s">
        <v>59</v>
      </c>
      <c r="B90" s="42">
        <f t="shared" si="8"/>
        <v>2636</v>
      </c>
      <c r="C90" s="45">
        <v>96</v>
      </c>
      <c r="D90" s="45">
        <v>1067</v>
      </c>
      <c r="E90" s="45">
        <v>1473</v>
      </c>
      <c r="G90" s="76">
        <f>SUM(B78:B90)</f>
        <v>35215</v>
      </c>
    </row>
    <row r="91" spans="1:7" ht="18.600000000000001" x14ac:dyDescent="0.45">
      <c r="G91" s="77"/>
    </row>
    <row r="92" spans="1:7" ht="18.600000000000001" x14ac:dyDescent="0.45">
      <c r="G92" s="77"/>
    </row>
    <row r="93" spans="1:7" ht="18.600000000000001" x14ac:dyDescent="0.45">
      <c r="G93" s="77"/>
    </row>
    <row r="94" spans="1:7" ht="18.600000000000001" x14ac:dyDescent="0.45">
      <c r="G94" s="77"/>
    </row>
    <row r="95" spans="1:7" ht="18.600000000000001" x14ac:dyDescent="0.45">
      <c r="G95" s="77"/>
    </row>
    <row r="96" spans="1:7" ht="18.600000000000001" x14ac:dyDescent="0.45">
      <c r="G96" s="77"/>
    </row>
    <row r="97" spans="1:7" ht="18.600000000000001" x14ac:dyDescent="0.45">
      <c r="G97" s="77"/>
    </row>
    <row r="98" spans="1:7" ht="18.600000000000001" x14ac:dyDescent="0.45">
      <c r="G98" s="77"/>
    </row>
    <row r="99" spans="1:7" ht="18.600000000000001" x14ac:dyDescent="0.45">
      <c r="G99" s="77"/>
    </row>
    <row r="100" spans="1:7" ht="18.600000000000001" x14ac:dyDescent="0.45">
      <c r="G100" s="77"/>
    </row>
    <row r="101" spans="1:7" ht="18.600000000000001" x14ac:dyDescent="0.45">
      <c r="G101" s="77"/>
    </row>
    <row r="102" spans="1:7" ht="18.600000000000001" x14ac:dyDescent="0.45">
      <c r="G102" s="77"/>
    </row>
    <row r="103" spans="1:7" ht="18.600000000000001" x14ac:dyDescent="0.45">
      <c r="G103" s="77"/>
    </row>
    <row r="104" spans="1:7" ht="18.600000000000001" x14ac:dyDescent="0.45">
      <c r="G104" s="77"/>
    </row>
    <row r="105" spans="1:7" ht="21" x14ac:dyDescent="0.5">
      <c r="A105" s="90" t="s">
        <v>123</v>
      </c>
      <c r="B105" s="91"/>
      <c r="C105" s="91"/>
      <c r="D105" s="91"/>
      <c r="E105" s="91"/>
      <c r="G105" s="77"/>
    </row>
    <row r="106" spans="1:7" ht="19.2" thickBot="1" x14ac:dyDescent="0.5">
      <c r="A106" s="52"/>
      <c r="B106" s="30"/>
      <c r="C106" s="40"/>
      <c r="D106" s="40"/>
      <c r="E106" s="40"/>
      <c r="G106" s="77"/>
    </row>
    <row r="107" spans="1:7" ht="19.2" thickBot="1" x14ac:dyDescent="0.5">
      <c r="A107" s="37" t="s">
        <v>64</v>
      </c>
      <c r="B107" s="38">
        <f>+C107+D107+E107</f>
        <v>35283</v>
      </c>
      <c r="C107" s="39">
        <f>+C110+C122+C130+C108</f>
        <v>1547</v>
      </c>
      <c r="D107" s="39">
        <f>+D110+D122+D130+D108</f>
        <v>15701</v>
      </c>
      <c r="E107" s="39">
        <f>+E110+E122+E130+E108</f>
        <v>18035</v>
      </c>
      <c r="G107" s="77"/>
    </row>
    <row r="108" spans="1:7" ht="18.600000000000001" x14ac:dyDescent="0.45">
      <c r="A108" s="44" t="s">
        <v>62</v>
      </c>
      <c r="B108" s="42">
        <f>+C108+D108+E108</f>
        <v>93</v>
      </c>
      <c r="C108" s="43">
        <v>1</v>
      </c>
      <c r="D108" s="43">
        <v>83</v>
      </c>
      <c r="E108" s="43">
        <v>9</v>
      </c>
      <c r="G108" s="76">
        <f>+B107+B108</f>
        <v>35376</v>
      </c>
    </row>
    <row r="109" spans="1:7" ht="19.2" thickBot="1" x14ac:dyDescent="0.5">
      <c r="A109" s="30"/>
      <c r="B109" s="30"/>
      <c r="C109" s="40"/>
      <c r="D109" s="40"/>
      <c r="E109" s="40"/>
      <c r="G109" s="77"/>
    </row>
    <row r="110" spans="1:7" ht="19.2" thickBot="1" x14ac:dyDescent="0.5">
      <c r="A110" s="37" t="s">
        <v>28</v>
      </c>
      <c r="B110" s="38">
        <f>+C110+D110+E110</f>
        <v>4283</v>
      </c>
      <c r="C110" s="39">
        <f>SUM(C111:C120)</f>
        <v>209</v>
      </c>
      <c r="D110" s="39">
        <f>SUM(D111:D120)</f>
        <v>1863</v>
      </c>
      <c r="E110" s="39">
        <f>SUM(E111:E120)</f>
        <v>2211</v>
      </c>
      <c r="G110" s="77"/>
    </row>
    <row r="111" spans="1:7" ht="18.600000000000001" x14ac:dyDescent="0.45">
      <c r="A111" s="44" t="s">
        <v>30</v>
      </c>
      <c r="B111" s="42">
        <f t="shared" ref="B111:B121" si="9">+C111+D111+E111</f>
        <v>287</v>
      </c>
      <c r="C111" s="45">
        <v>3</v>
      </c>
      <c r="D111" s="45">
        <v>111</v>
      </c>
      <c r="E111" s="45">
        <v>173</v>
      </c>
      <c r="G111" s="77"/>
    </row>
    <row r="112" spans="1:7" ht="18.600000000000001" x14ac:dyDescent="0.45">
      <c r="A112" s="41" t="s">
        <v>31</v>
      </c>
      <c r="B112" s="42">
        <f t="shared" si="9"/>
        <v>340</v>
      </c>
      <c r="C112" s="45">
        <v>10</v>
      </c>
      <c r="D112" s="45">
        <v>149</v>
      </c>
      <c r="E112" s="45">
        <v>181</v>
      </c>
      <c r="G112" s="77"/>
    </row>
    <row r="113" spans="1:7" ht="18.600000000000001" x14ac:dyDescent="0.45">
      <c r="A113" s="44" t="s">
        <v>32</v>
      </c>
      <c r="B113" s="42">
        <f t="shared" si="9"/>
        <v>393</v>
      </c>
      <c r="C113" s="45">
        <v>20</v>
      </c>
      <c r="D113" s="45">
        <v>152</v>
      </c>
      <c r="E113" s="45">
        <v>221</v>
      </c>
      <c r="G113" s="77"/>
    </row>
    <row r="114" spans="1:7" ht="18.600000000000001" x14ac:dyDescent="0.45">
      <c r="A114" s="44" t="s">
        <v>33</v>
      </c>
      <c r="B114" s="42">
        <f t="shared" si="9"/>
        <v>386</v>
      </c>
      <c r="C114" s="45">
        <v>23</v>
      </c>
      <c r="D114" s="45">
        <v>166</v>
      </c>
      <c r="E114" s="45">
        <v>197</v>
      </c>
      <c r="G114" s="77"/>
    </row>
    <row r="115" spans="1:7" ht="18.600000000000001" x14ac:dyDescent="0.45">
      <c r="A115" s="44" t="s">
        <v>34</v>
      </c>
      <c r="B115" s="42">
        <f t="shared" si="9"/>
        <v>400</v>
      </c>
      <c r="C115" s="45">
        <v>30</v>
      </c>
      <c r="D115" s="45">
        <v>171</v>
      </c>
      <c r="E115" s="45">
        <v>199</v>
      </c>
      <c r="G115" s="77"/>
    </row>
    <row r="116" spans="1:7" ht="18.600000000000001" x14ac:dyDescent="0.45">
      <c r="A116" s="44" t="s">
        <v>35</v>
      </c>
      <c r="B116" s="42">
        <f t="shared" si="9"/>
        <v>454</v>
      </c>
      <c r="C116" s="45">
        <v>24</v>
      </c>
      <c r="D116" s="45">
        <v>205</v>
      </c>
      <c r="E116" s="45">
        <v>225</v>
      </c>
      <c r="G116" s="77"/>
    </row>
    <row r="117" spans="1:7" ht="18.600000000000001" x14ac:dyDescent="0.45">
      <c r="A117" s="44" t="s">
        <v>36</v>
      </c>
      <c r="B117" s="42">
        <f t="shared" si="9"/>
        <v>517</v>
      </c>
      <c r="C117" s="45">
        <v>21</v>
      </c>
      <c r="D117" s="45">
        <v>247</v>
      </c>
      <c r="E117" s="45">
        <v>249</v>
      </c>
      <c r="G117" s="77"/>
    </row>
    <row r="118" spans="1:7" ht="18.600000000000001" x14ac:dyDescent="0.45">
      <c r="A118" s="44" t="s">
        <v>37</v>
      </c>
      <c r="B118" s="42">
        <f t="shared" si="9"/>
        <v>502</v>
      </c>
      <c r="C118" s="45">
        <v>30</v>
      </c>
      <c r="D118" s="45">
        <v>218</v>
      </c>
      <c r="E118" s="45">
        <v>254</v>
      </c>
      <c r="G118" s="77"/>
    </row>
    <row r="119" spans="1:7" ht="18.600000000000001" x14ac:dyDescent="0.45">
      <c r="A119" s="44" t="s">
        <v>38</v>
      </c>
      <c r="B119" s="42">
        <f t="shared" si="9"/>
        <v>482</v>
      </c>
      <c r="C119" s="45">
        <v>16</v>
      </c>
      <c r="D119" s="45">
        <v>205</v>
      </c>
      <c r="E119" s="45">
        <v>261</v>
      </c>
      <c r="G119" s="77"/>
    </row>
    <row r="120" spans="1:7" ht="18.600000000000001" x14ac:dyDescent="0.45">
      <c r="A120" s="44" t="s">
        <v>39</v>
      </c>
      <c r="B120" s="42">
        <f t="shared" si="9"/>
        <v>522</v>
      </c>
      <c r="C120" s="45">
        <v>32</v>
      </c>
      <c r="D120" s="45">
        <v>239</v>
      </c>
      <c r="E120" s="45">
        <v>251</v>
      </c>
      <c r="G120" s="76">
        <f>SUM(B111:B120)</f>
        <v>4283</v>
      </c>
    </row>
    <row r="121" spans="1:7" ht="19.2" thickBot="1" x14ac:dyDescent="0.5">
      <c r="A121" s="46"/>
      <c r="B121" s="30"/>
      <c r="C121" s="40"/>
      <c r="D121" s="40"/>
      <c r="E121" s="40"/>
      <c r="G121" s="77"/>
    </row>
    <row r="122" spans="1:7" ht="19.2" thickBot="1" x14ac:dyDescent="0.5">
      <c r="A122" s="37" t="s">
        <v>40</v>
      </c>
      <c r="B122" s="38">
        <f>+C122+D122+E122</f>
        <v>5082</v>
      </c>
      <c r="C122" s="39">
        <f>SUM(C123:C128)</f>
        <v>240</v>
      </c>
      <c r="D122" s="39">
        <f t="shared" ref="D122:E122" si="10">SUM(D123:D128)</f>
        <v>2214</v>
      </c>
      <c r="E122" s="39">
        <f t="shared" si="10"/>
        <v>2628</v>
      </c>
      <c r="G122" s="77"/>
    </row>
    <row r="123" spans="1:7" ht="18.600000000000001" x14ac:dyDescent="0.45">
      <c r="A123" s="41" t="s">
        <v>41</v>
      </c>
      <c r="B123" s="42">
        <f t="shared" ref="B123:B128" si="11">+C123+D123+E123</f>
        <v>560</v>
      </c>
      <c r="C123" s="43">
        <v>27</v>
      </c>
      <c r="D123" s="43">
        <v>247</v>
      </c>
      <c r="E123" s="43">
        <v>286</v>
      </c>
      <c r="G123" s="77"/>
    </row>
    <row r="124" spans="1:7" ht="18.600000000000001" x14ac:dyDescent="0.45">
      <c r="A124" s="41" t="s">
        <v>42</v>
      </c>
      <c r="B124" s="42">
        <f t="shared" si="11"/>
        <v>550</v>
      </c>
      <c r="C124" s="45">
        <v>23</v>
      </c>
      <c r="D124" s="45">
        <v>209</v>
      </c>
      <c r="E124" s="45">
        <v>318</v>
      </c>
      <c r="G124" s="77"/>
    </row>
    <row r="125" spans="1:7" ht="18.600000000000001" x14ac:dyDescent="0.45">
      <c r="A125" s="41" t="s">
        <v>43</v>
      </c>
      <c r="B125" s="42">
        <f t="shared" si="11"/>
        <v>517</v>
      </c>
      <c r="C125" s="45">
        <v>18</v>
      </c>
      <c r="D125" s="45">
        <v>238</v>
      </c>
      <c r="E125" s="45">
        <v>261</v>
      </c>
      <c r="G125" s="77"/>
    </row>
    <row r="126" spans="1:7" ht="18.600000000000001" x14ac:dyDescent="0.45">
      <c r="A126" s="41" t="s">
        <v>44</v>
      </c>
      <c r="B126" s="42">
        <f t="shared" si="11"/>
        <v>510</v>
      </c>
      <c r="C126" s="45">
        <v>13</v>
      </c>
      <c r="D126" s="45">
        <v>215</v>
      </c>
      <c r="E126" s="45">
        <v>282</v>
      </c>
      <c r="G126" s="77"/>
    </row>
    <row r="127" spans="1:7" ht="18.600000000000001" x14ac:dyDescent="0.45">
      <c r="A127" s="41" t="s">
        <v>45</v>
      </c>
      <c r="B127" s="42">
        <f t="shared" si="11"/>
        <v>483</v>
      </c>
      <c r="C127" s="45">
        <v>26</v>
      </c>
      <c r="D127" s="45">
        <v>228</v>
      </c>
      <c r="E127" s="45">
        <v>229</v>
      </c>
      <c r="G127" s="77"/>
    </row>
    <row r="128" spans="1:7" ht="18.600000000000001" x14ac:dyDescent="0.45">
      <c r="A128" s="44" t="s">
        <v>46</v>
      </c>
      <c r="B128" s="42">
        <f t="shared" si="11"/>
        <v>2462</v>
      </c>
      <c r="C128" s="45">
        <v>133</v>
      </c>
      <c r="D128" s="45">
        <v>1077</v>
      </c>
      <c r="E128" s="43">
        <v>1252</v>
      </c>
      <c r="G128" s="76">
        <f>SUM(B123:B128)</f>
        <v>5082</v>
      </c>
    </row>
    <row r="129" spans="1:7" ht="19.2" thickBot="1" x14ac:dyDescent="0.5">
      <c r="A129" s="47"/>
      <c r="B129" s="30"/>
      <c r="C129" s="40"/>
      <c r="D129" s="40"/>
      <c r="E129" s="40"/>
      <c r="G129" s="77"/>
    </row>
    <row r="130" spans="1:7" ht="19.2" thickBot="1" x14ac:dyDescent="0.5">
      <c r="A130" s="37" t="s">
        <v>47</v>
      </c>
      <c r="B130" s="38">
        <f>+C130+D130+E130</f>
        <v>25825</v>
      </c>
      <c r="C130" s="39">
        <f>SUM(C131:C143)</f>
        <v>1097</v>
      </c>
      <c r="D130" s="39">
        <f t="shared" ref="D130:E130" si="12">SUM(D131:D143)</f>
        <v>11541</v>
      </c>
      <c r="E130" s="39">
        <f t="shared" si="12"/>
        <v>13187</v>
      </c>
      <c r="G130" s="77"/>
    </row>
    <row r="131" spans="1:7" ht="18.600000000000001" x14ac:dyDescent="0.45">
      <c r="A131" s="48" t="s">
        <v>21</v>
      </c>
      <c r="B131" s="42">
        <f>+C131+D131+E131</f>
        <v>2197</v>
      </c>
      <c r="C131" s="43">
        <v>93</v>
      </c>
      <c r="D131" s="43">
        <v>1008</v>
      </c>
      <c r="E131" s="45">
        <v>1096</v>
      </c>
      <c r="G131" s="77"/>
    </row>
    <row r="132" spans="1:7" ht="18.600000000000001" x14ac:dyDescent="0.45">
      <c r="A132" s="48" t="s">
        <v>48</v>
      </c>
      <c r="B132" s="42">
        <f t="shared" ref="B132:B143" si="13">+C132+D132+E132</f>
        <v>2661</v>
      </c>
      <c r="C132" s="45">
        <v>101</v>
      </c>
      <c r="D132" s="45">
        <v>1232</v>
      </c>
      <c r="E132" s="45">
        <v>1328</v>
      </c>
      <c r="G132" s="77"/>
    </row>
    <row r="133" spans="1:7" ht="18.600000000000001" x14ac:dyDescent="0.45">
      <c r="A133" s="48" t="s">
        <v>49</v>
      </c>
      <c r="B133" s="42">
        <f t="shared" si="13"/>
        <v>2879</v>
      </c>
      <c r="C133" s="45">
        <v>105</v>
      </c>
      <c r="D133" s="45">
        <v>1387</v>
      </c>
      <c r="E133" s="45">
        <v>1387</v>
      </c>
      <c r="G133" s="77"/>
    </row>
    <row r="134" spans="1:7" ht="18.600000000000001" x14ac:dyDescent="0.45">
      <c r="A134" s="48" t="s">
        <v>50</v>
      </c>
      <c r="B134" s="42">
        <f t="shared" si="13"/>
        <v>2865</v>
      </c>
      <c r="C134" s="45">
        <v>123</v>
      </c>
      <c r="D134" s="45">
        <v>1325</v>
      </c>
      <c r="E134" s="45">
        <v>1417</v>
      </c>
      <c r="G134" s="77"/>
    </row>
    <row r="135" spans="1:7" ht="18.600000000000001" x14ac:dyDescent="0.45">
      <c r="A135" s="48" t="s">
        <v>51</v>
      </c>
      <c r="B135" s="42">
        <f t="shared" si="13"/>
        <v>2345</v>
      </c>
      <c r="C135" s="45">
        <v>104</v>
      </c>
      <c r="D135" s="45">
        <v>1043</v>
      </c>
      <c r="E135" s="45">
        <v>1198</v>
      </c>
      <c r="G135" s="77"/>
    </row>
    <row r="136" spans="1:7" ht="18.600000000000001" x14ac:dyDescent="0.45">
      <c r="A136" s="48" t="s">
        <v>52</v>
      </c>
      <c r="B136" s="42">
        <f t="shared" si="13"/>
        <v>1903</v>
      </c>
      <c r="C136" s="45">
        <v>64</v>
      </c>
      <c r="D136" s="45">
        <v>834</v>
      </c>
      <c r="E136" s="45">
        <v>1005</v>
      </c>
      <c r="G136" s="77"/>
    </row>
    <row r="137" spans="1:7" ht="18.600000000000001" x14ac:dyDescent="0.45">
      <c r="A137" s="48" t="s">
        <v>53</v>
      </c>
      <c r="B137" s="42">
        <f t="shared" si="13"/>
        <v>1869</v>
      </c>
      <c r="C137" s="45">
        <v>71</v>
      </c>
      <c r="D137" s="45">
        <v>795</v>
      </c>
      <c r="E137" s="45">
        <v>1003</v>
      </c>
      <c r="G137" s="77"/>
    </row>
    <row r="138" spans="1:7" ht="18.600000000000001" x14ac:dyDescent="0.45">
      <c r="A138" s="48" t="s">
        <v>54</v>
      </c>
      <c r="B138" s="42">
        <f t="shared" si="13"/>
        <v>1809</v>
      </c>
      <c r="C138" s="45">
        <v>75</v>
      </c>
      <c r="D138" s="45">
        <v>783</v>
      </c>
      <c r="E138" s="45">
        <v>951</v>
      </c>
      <c r="G138" s="77"/>
    </row>
    <row r="139" spans="1:7" ht="18.600000000000001" x14ac:dyDescent="0.45">
      <c r="A139" s="48" t="s">
        <v>55</v>
      </c>
      <c r="B139" s="42">
        <f t="shared" si="13"/>
        <v>1876</v>
      </c>
      <c r="C139" s="45">
        <v>98</v>
      </c>
      <c r="D139" s="45">
        <v>751</v>
      </c>
      <c r="E139" s="45">
        <v>1027</v>
      </c>
      <c r="G139" s="77"/>
    </row>
    <row r="140" spans="1:7" ht="18.600000000000001" x14ac:dyDescent="0.45">
      <c r="A140" s="49" t="s">
        <v>56</v>
      </c>
      <c r="B140" s="42">
        <f t="shared" si="13"/>
        <v>1709</v>
      </c>
      <c r="C140" s="45">
        <v>91</v>
      </c>
      <c r="D140" s="45">
        <v>710</v>
      </c>
      <c r="E140" s="45">
        <v>908</v>
      </c>
      <c r="G140" s="77"/>
    </row>
    <row r="141" spans="1:7" ht="18.600000000000001" x14ac:dyDescent="0.45">
      <c r="A141" s="48" t="s">
        <v>57</v>
      </c>
      <c r="B141" s="42">
        <f t="shared" si="13"/>
        <v>1328</v>
      </c>
      <c r="C141" s="45">
        <v>70</v>
      </c>
      <c r="D141" s="45">
        <v>529</v>
      </c>
      <c r="E141" s="45">
        <v>729</v>
      </c>
      <c r="G141" s="77"/>
    </row>
    <row r="142" spans="1:7" ht="18.600000000000001" x14ac:dyDescent="0.45">
      <c r="A142" s="48" t="s">
        <v>58</v>
      </c>
      <c r="B142" s="42">
        <f t="shared" si="13"/>
        <v>907</v>
      </c>
      <c r="C142" s="45">
        <v>46</v>
      </c>
      <c r="D142" s="45">
        <v>377</v>
      </c>
      <c r="E142" s="45">
        <v>484</v>
      </c>
      <c r="G142" s="77"/>
    </row>
    <row r="143" spans="1:7" ht="18.600000000000001" x14ac:dyDescent="0.45">
      <c r="A143" s="48" t="s">
        <v>59</v>
      </c>
      <c r="B143" s="42">
        <f t="shared" si="13"/>
        <v>1477</v>
      </c>
      <c r="C143" s="45">
        <v>56</v>
      </c>
      <c r="D143" s="45">
        <v>767</v>
      </c>
      <c r="E143" s="45">
        <v>654</v>
      </c>
      <c r="G143" s="76">
        <f>SUM(B131:B143)</f>
        <v>25825</v>
      </c>
    </row>
  </sheetData>
  <mergeCells count="6">
    <mergeCell ref="A105:E105"/>
    <mergeCell ref="A1:G1"/>
    <mergeCell ref="B2:E2"/>
    <mergeCell ref="A3:E3"/>
    <mergeCell ref="C4:E4"/>
    <mergeCell ref="A52:E52"/>
  </mergeCells>
  <pageMargins left="0.70866141732283472" right="0.70866141732283472" top="0.74803149606299213" bottom="0.74803149606299213" header="0.31496062992125984" footer="0.31496062992125984"/>
  <pageSetup scale="81" fitToWidth="3" fitToHeight="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"/>
  <sheetViews>
    <sheetView workbookViewId="0">
      <selection activeCell="F5" sqref="F5"/>
    </sheetView>
  </sheetViews>
  <sheetFormatPr baseColWidth="10" defaultRowHeight="13.2" x14ac:dyDescent="0.25"/>
  <cols>
    <col min="1" max="1" width="25.5546875" customWidth="1"/>
    <col min="2" max="2" width="17" customWidth="1"/>
    <col min="3" max="3" width="15.6640625" customWidth="1"/>
    <col min="4" max="4" width="19.5546875" customWidth="1"/>
    <col min="5" max="5" width="3.44140625" customWidth="1"/>
  </cols>
  <sheetData>
    <row r="1" spans="1:8" x14ac:dyDescent="0.25">
      <c r="A1" s="29"/>
      <c r="B1" s="29"/>
      <c r="C1" s="29"/>
      <c r="D1" s="29"/>
    </row>
    <row r="2" spans="1:8" ht="22.8" x14ac:dyDescent="0.25">
      <c r="A2" s="79" t="s">
        <v>22</v>
      </c>
      <c r="B2" s="80"/>
      <c r="C2" s="80"/>
      <c r="D2" s="80"/>
    </row>
    <row r="3" spans="1:8" x14ac:dyDescent="0.25">
      <c r="A3" s="30"/>
      <c r="B3" s="31"/>
      <c r="C3" s="31"/>
      <c r="D3" s="31"/>
    </row>
    <row r="4" spans="1:8" ht="18" thickBot="1" x14ac:dyDescent="0.35">
      <c r="A4" s="85" t="s">
        <v>68</v>
      </c>
      <c r="B4" s="86"/>
      <c r="C4" s="86"/>
      <c r="D4" s="86"/>
    </row>
    <row r="5" spans="1:8" ht="13.8" thickBot="1" x14ac:dyDescent="0.3">
      <c r="A5" s="32"/>
      <c r="B5" s="33" t="s">
        <v>23</v>
      </c>
      <c r="C5" s="81" t="s">
        <v>24</v>
      </c>
      <c r="D5" s="82"/>
    </row>
    <row r="6" spans="1:8" ht="13.8" thickBot="1" x14ac:dyDescent="0.3">
      <c r="A6" s="34" t="s">
        <v>25</v>
      </c>
      <c r="B6" s="35" t="s">
        <v>26</v>
      </c>
      <c r="C6" s="36" t="s">
        <v>4</v>
      </c>
      <c r="D6" s="36" t="s">
        <v>15</v>
      </c>
    </row>
    <row r="7" spans="1:8" ht="13.8" thickBot="1" x14ac:dyDescent="0.3">
      <c r="A7" s="37" t="s">
        <v>27</v>
      </c>
      <c r="B7" s="38">
        <f>+B9+B22+B30</f>
        <v>53143</v>
      </c>
      <c r="C7" s="39">
        <f>+C9+C22+C30</f>
        <v>25356</v>
      </c>
      <c r="D7" s="39">
        <f>+D9+D22+D30</f>
        <v>27787</v>
      </c>
    </row>
    <row r="8" spans="1:8" ht="13.8" thickBot="1" x14ac:dyDescent="0.3">
      <c r="A8" s="30"/>
      <c r="B8" s="30"/>
      <c r="C8" s="40"/>
      <c r="D8" s="40"/>
    </row>
    <row r="9" spans="1:8" ht="13.8" thickBot="1" x14ac:dyDescent="0.3">
      <c r="A9" s="37" t="s">
        <v>28</v>
      </c>
      <c r="B9" s="38">
        <f>+C9+D9</f>
        <v>5988</v>
      </c>
      <c r="C9" s="39">
        <f>SUM(C10:C20)</f>
        <v>2664</v>
      </c>
      <c r="D9" s="39">
        <f>SUM(D10:D20)</f>
        <v>3324</v>
      </c>
      <c r="G9" s="78"/>
      <c r="H9" s="78"/>
    </row>
    <row r="10" spans="1:8" x14ac:dyDescent="0.25">
      <c r="A10" s="41" t="s">
        <v>29</v>
      </c>
      <c r="B10" s="42">
        <f>+C10+D10</f>
        <v>13</v>
      </c>
      <c r="C10" s="43">
        <f>+C60+C114+G10</f>
        <v>9</v>
      </c>
      <c r="D10" s="43">
        <f>+D60+D114+H10</f>
        <v>4</v>
      </c>
    </row>
    <row r="11" spans="1:8" x14ac:dyDescent="0.25">
      <c r="A11" s="44" t="s">
        <v>30</v>
      </c>
      <c r="B11" s="42">
        <f t="shared" ref="B11:B20" si="0">+C11+D11</f>
        <v>716</v>
      </c>
      <c r="C11" s="43">
        <f t="shared" ref="C11:D20" si="1">+C61+C115</f>
        <v>297</v>
      </c>
      <c r="D11" s="43">
        <f t="shared" si="1"/>
        <v>419</v>
      </c>
    </row>
    <row r="12" spans="1:8" x14ac:dyDescent="0.25">
      <c r="A12" s="41" t="s">
        <v>31</v>
      </c>
      <c r="B12" s="42">
        <f t="shared" si="0"/>
        <v>547</v>
      </c>
      <c r="C12" s="43">
        <f t="shared" si="1"/>
        <v>239</v>
      </c>
      <c r="D12" s="43">
        <f t="shared" si="1"/>
        <v>308</v>
      </c>
    </row>
    <row r="13" spans="1:8" x14ac:dyDescent="0.25">
      <c r="A13" s="44" t="s">
        <v>32</v>
      </c>
      <c r="B13" s="42">
        <f t="shared" si="0"/>
        <v>548</v>
      </c>
      <c r="C13" s="43">
        <f t="shared" si="1"/>
        <v>236</v>
      </c>
      <c r="D13" s="43">
        <f t="shared" si="1"/>
        <v>312</v>
      </c>
    </row>
    <row r="14" spans="1:8" x14ac:dyDescent="0.25">
      <c r="A14" s="44" t="s">
        <v>33</v>
      </c>
      <c r="B14" s="42">
        <f t="shared" si="0"/>
        <v>494</v>
      </c>
      <c r="C14" s="43">
        <f t="shared" si="1"/>
        <v>245</v>
      </c>
      <c r="D14" s="43">
        <f t="shared" si="1"/>
        <v>249</v>
      </c>
    </row>
    <row r="15" spans="1:8" x14ac:dyDescent="0.25">
      <c r="A15" s="44" t="s">
        <v>34</v>
      </c>
      <c r="B15" s="42">
        <f t="shared" si="0"/>
        <v>549</v>
      </c>
      <c r="C15" s="43">
        <f t="shared" si="1"/>
        <v>268</v>
      </c>
      <c r="D15" s="43">
        <f t="shared" si="1"/>
        <v>281</v>
      </c>
    </row>
    <row r="16" spans="1:8" x14ac:dyDescent="0.25">
      <c r="A16" s="44" t="s">
        <v>35</v>
      </c>
      <c r="B16" s="42">
        <f t="shared" si="0"/>
        <v>652</v>
      </c>
      <c r="C16" s="43">
        <f t="shared" si="1"/>
        <v>286</v>
      </c>
      <c r="D16" s="43">
        <f t="shared" si="1"/>
        <v>366</v>
      </c>
    </row>
    <row r="17" spans="1:7" x14ac:dyDescent="0.25">
      <c r="A17" s="44" t="s">
        <v>36</v>
      </c>
      <c r="B17" s="42">
        <f t="shared" si="0"/>
        <v>596</v>
      </c>
      <c r="C17" s="43">
        <f t="shared" si="1"/>
        <v>258</v>
      </c>
      <c r="D17" s="43">
        <f t="shared" si="1"/>
        <v>338</v>
      </c>
    </row>
    <row r="18" spans="1:7" x14ac:dyDescent="0.25">
      <c r="A18" s="44" t="s">
        <v>37</v>
      </c>
      <c r="B18" s="42">
        <f t="shared" si="0"/>
        <v>660</v>
      </c>
      <c r="C18" s="43">
        <f t="shared" si="1"/>
        <v>304</v>
      </c>
      <c r="D18" s="43">
        <f t="shared" si="1"/>
        <v>356</v>
      </c>
    </row>
    <row r="19" spans="1:7" x14ac:dyDescent="0.25">
      <c r="A19" s="44" t="s">
        <v>38</v>
      </c>
      <c r="B19" s="42">
        <f t="shared" si="0"/>
        <v>601</v>
      </c>
      <c r="C19" s="43">
        <f t="shared" si="1"/>
        <v>262</v>
      </c>
      <c r="D19" s="43">
        <f t="shared" si="1"/>
        <v>339</v>
      </c>
    </row>
    <row r="20" spans="1:7" x14ac:dyDescent="0.25">
      <c r="A20" s="44" t="s">
        <v>39</v>
      </c>
      <c r="B20" s="42">
        <f t="shared" si="0"/>
        <v>612</v>
      </c>
      <c r="C20" s="43">
        <f t="shared" si="1"/>
        <v>260</v>
      </c>
      <c r="D20" s="43">
        <f t="shared" si="1"/>
        <v>352</v>
      </c>
    </row>
    <row r="21" spans="1:7" ht="13.8" thickBot="1" x14ac:dyDescent="0.3">
      <c r="A21" s="46"/>
      <c r="B21" s="30"/>
      <c r="C21" s="40"/>
      <c r="D21" s="40"/>
    </row>
    <row r="22" spans="1:7" ht="13.8" thickBot="1" x14ac:dyDescent="0.3">
      <c r="A22" s="37" t="s">
        <v>40</v>
      </c>
      <c r="B22" s="38">
        <f>+C22+D22</f>
        <v>6902</v>
      </c>
      <c r="C22" s="39">
        <f>SUM(C23:C28)</f>
        <v>3366</v>
      </c>
      <c r="D22" s="39">
        <f>SUM(D23:D28)</f>
        <v>3536</v>
      </c>
    </row>
    <row r="23" spans="1:7" x14ac:dyDescent="0.25">
      <c r="A23" s="41" t="s">
        <v>41</v>
      </c>
      <c r="B23" s="42">
        <f t="shared" ref="B23:B28" si="2">+C23+D23</f>
        <v>584</v>
      </c>
      <c r="C23" s="43">
        <f t="shared" ref="C23:D28" si="3">+C73+C127</f>
        <v>277</v>
      </c>
      <c r="D23" s="43">
        <f t="shared" si="3"/>
        <v>307</v>
      </c>
    </row>
    <row r="24" spans="1:7" x14ac:dyDescent="0.25">
      <c r="A24" s="41" t="s">
        <v>42</v>
      </c>
      <c r="B24" s="42">
        <f t="shared" si="2"/>
        <v>613</v>
      </c>
      <c r="C24" s="43">
        <f t="shared" si="3"/>
        <v>306</v>
      </c>
      <c r="D24" s="43">
        <f t="shared" si="3"/>
        <v>307</v>
      </c>
    </row>
    <row r="25" spans="1:7" x14ac:dyDescent="0.25">
      <c r="A25" s="41" t="s">
        <v>43</v>
      </c>
      <c r="B25" s="42">
        <f t="shared" si="2"/>
        <v>621</v>
      </c>
      <c r="C25" s="43">
        <f t="shared" si="3"/>
        <v>282</v>
      </c>
      <c r="D25" s="43">
        <f t="shared" si="3"/>
        <v>339</v>
      </c>
    </row>
    <row r="26" spans="1:7" x14ac:dyDescent="0.25">
      <c r="A26" s="41" t="s">
        <v>44</v>
      </c>
      <c r="B26" s="42">
        <f t="shared" si="2"/>
        <v>641</v>
      </c>
      <c r="C26" s="43">
        <f t="shared" si="3"/>
        <v>305</v>
      </c>
      <c r="D26" s="43">
        <f t="shared" si="3"/>
        <v>336</v>
      </c>
    </row>
    <row r="27" spans="1:7" x14ac:dyDescent="0.25">
      <c r="A27" s="41" t="s">
        <v>45</v>
      </c>
      <c r="B27" s="42">
        <f t="shared" si="2"/>
        <v>720</v>
      </c>
      <c r="C27" s="43">
        <f t="shared" si="3"/>
        <v>331</v>
      </c>
      <c r="D27" s="43">
        <f t="shared" si="3"/>
        <v>389</v>
      </c>
    </row>
    <row r="28" spans="1:7" x14ac:dyDescent="0.25">
      <c r="A28" s="44" t="s">
        <v>46</v>
      </c>
      <c r="B28" s="42">
        <f t="shared" si="2"/>
        <v>3723</v>
      </c>
      <c r="C28" s="43">
        <f t="shared" si="3"/>
        <v>1865</v>
      </c>
      <c r="D28" s="43">
        <f t="shared" si="3"/>
        <v>1858</v>
      </c>
      <c r="G28" s="1"/>
    </row>
    <row r="29" spans="1:7" ht="13.8" thickBot="1" x14ac:dyDescent="0.3">
      <c r="A29" s="47"/>
      <c r="B29" s="30"/>
      <c r="C29" s="40"/>
      <c r="D29" s="40"/>
      <c r="F29" s="1"/>
      <c r="G29" s="1"/>
    </row>
    <row r="30" spans="1:7" ht="13.8" thickBot="1" x14ac:dyDescent="0.3">
      <c r="A30" s="37" t="s">
        <v>47</v>
      </c>
      <c r="B30" s="38">
        <f>+C30+D30</f>
        <v>40253</v>
      </c>
      <c r="C30" s="39">
        <f>SUM(C31:C43)</f>
        <v>19326</v>
      </c>
      <c r="D30" s="39">
        <f>SUM(D31:D43)</f>
        <v>20927</v>
      </c>
    </row>
    <row r="31" spans="1:7" x14ac:dyDescent="0.25">
      <c r="A31" s="48" t="s">
        <v>21</v>
      </c>
      <c r="B31" s="42">
        <f t="shared" ref="B31:B43" si="4">+C31+D31</f>
        <v>3784</v>
      </c>
      <c r="C31" s="43">
        <f t="shared" ref="C31:D43" si="5">+C81+C135</f>
        <v>1809</v>
      </c>
      <c r="D31" s="43">
        <f t="shared" si="5"/>
        <v>1975</v>
      </c>
    </row>
    <row r="32" spans="1:7" x14ac:dyDescent="0.25">
      <c r="A32" s="48" t="s">
        <v>48</v>
      </c>
      <c r="B32" s="42">
        <f t="shared" si="4"/>
        <v>3511</v>
      </c>
      <c r="C32" s="43">
        <f t="shared" si="5"/>
        <v>1638</v>
      </c>
      <c r="D32" s="43">
        <f t="shared" si="5"/>
        <v>1873</v>
      </c>
    </row>
    <row r="33" spans="1:7" x14ac:dyDescent="0.25">
      <c r="A33" s="48" t="s">
        <v>49</v>
      </c>
      <c r="B33" s="42">
        <f t="shared" si="4"/>
        <v>3167</v>
      </c>
      <c r="C33" s="43">
        <f t="shared" si="5"/>
        <v>1464</v>
      </c>
      <c r="D33" s="43">
        <f t="shared" si="5"/>
        <v>1703</v>
      </c>
    </row>
    <row r="34" spans="1:7" x14ac:dyDescent="0.25">
      <c r="A34" s="48" t="s">
        <v>50</v>
      </c>
      <c r="B34" s="42">
        <f t="shared" si="4"/>
        <v>2824</v>
      </c>
      <c r="C34" s="43">
        <f t="shared" si="5"/>
        <v>1309</v>
      </c>
      <c r="D34" s="43">
        <f t="shared" si="5"/>
        <v>1515</v>
      </c>
      <c r="G34" s="1"/>
    </row>
    <row r="35" spans="1:7" x14ac:dyDescent="0.25">
      <c r="A35" s="48" t="s">
        <v>51</v>
      </c>
      <c r="B35" s="42">
        <f t="shared" si="4"/>
        <v>3105</v>
      </c>
      <c r="C35" s="43">
        <f t="shared" si="5"/>
        <v>1523</v>
      </c>
      <c r="D35" s="43">
        <f t="shared" si="5"/>
        <v>1582</v>
      </c>
    </row>
    <row r="36" spans="1:7" x14ac:dyDescent="0.25">
      <c r="A36" s="48" t="s">
        <v>52</v>
      </c>
      <c r="B36" s="42">
        <f t="shared" si="4"/>
        <v>3185</v>
      </c>
      <c r="C36" s="43">
        <f t="shared" si="5"/>
        <v>1516</v>
      </c>
      <c r="D36" s="43">
        <f t="shared" si="5"/>
        <v>1669</v>
      </c>
    </row>
    <row r="37" spans="1:7" x14ac:dyDescent="0.25">
      <c r="A37" s="48" t="s">
        <v>53</v>
      </c>
      <c r="B37" s="42">
        <f t="shared" si="4"/>
        <v>3579</v>
      </c>
      <c r="C37" s="43">
        <f t="shared" si="5"/>
        <v>1674</v>
      </c>
      <c r="D37" s="43">
        <f t="shared" si="5"/>
        <v>1905</v>
      </c>
    </row>
    <row r="38" spans="1:7" x14ac:dyDescent="0.25">
      <c r="A38" s="48" t="s">
        <v>54</v>
      </c>
      <c r="B38" s="42">
        <f t="shared" si="4"/>
        <v>3271</v>
      </c>
      <c r="C38" s="43">
        <f t="shared" si="5"/>
        <v>1522</v>
      </c>
      <c r="D38" s="43">
        <f t="shared" si="5"/>
        <v>1749</v>
      </c>
    </row>
    <row r="39" spans="1:7" x14ac:dyDescent="0.25">
      <c r="A39" s="48" t="s">
        <v>55</v>
      </c>
      <c r="B39" s="42">
        <f t="shared" si="4"/>
        <v>2874</v>
      </c>
      <c r="C39" s="43">
        <f t="shared" si="5"/>
        <v>1342</v>
      </c>
      <c r="D39" s="43">
        <f t="shared" si="5"/>
        <v>1532</v>
      </c>
    </row>
    <row r="40" spans="1:7" x14ac:dyDescent="0.25">
      <c r="A40" s="49" t="s">
        <v>56</v>
      </c>
      <c r="B40" s="42">
        <f t="shared" si="4"/>
        <v>2834</v>
      </c>
      <c r="C40" s="43">
        <f t="shared" si="5"/>
        <v>1433</v>
      </c>
      <c r="D40" s="43">
        <f t="shared" si="5"/>
        <v>1401</v>
      </c>
    </row>
    <row r="41" spans="1:7" x14ac:dyDescent="0.25">
      <c r="A41" s="48" t="s">
        <v>57</v>
      </c>
      <c r="B41" s="42">
        <f t="shared" si="4"/>
        <v>2456</v>
      </c>
      <c r="C41" s="43">
        <f t="shared" si="5"/>
        <v>1183</v>
      </c>
      <c r="D41" s="43">
        <f t="shared" si="5"/>
        <v>1273</v>
      </c>
    </row>
    <row r="42" spans="1:7" x14ac:dyDescent="0.25">
      <c r="A42" s="48" t="s">
        <v>58</v>
      </c>
      <c r="B42" s="42">
        <f t="shared" si="4"/>
        <v>2003</v>
      </c>
      <c r="C42" s="43">
        <f t="shared" si="5"/>
        <v>948</v>
      </c>
      <c r="D42" s="43">
        <f t="shared" si="5"/>
        <v>1055</v>
      </c>
    </row>
    <row r="43" spans="1:7" x14ac:dyDescent="0.25">
      <c r="A43" s="48" t="s">
        <v>59</v>
      </c>
      <c r="B43" s="42">
        <f t="shared" si="4"/>
        <v>3660</v>
      </c>
      <c r="C43" s="43">
        <f t="shared" si="5"/>
        <v>1965</v>
      </c>
      <c r="D43" s="43">
        <f t="shared" si="5"/>
        <v>1695</v>
      </c>
    </row>
    <row r="44" spans="1:7" x14ac:dyDescent="0.25">
      <c r="A44" s="50"/>
      <c r="B44" s="51"/>
      <c r="C44" s="51"/>
      <c r="D44" s="51"/>
    </row>
    <row r="45" spans="1:7" x14ac:dyDescent="0.25">
      <c r="A45" s="30"/>
      <c r="B45" s="30"/>
      <c r="C45" s="40"/>
      <c r="D45" s="40"/>
    </row>
    <row r="46" spans="1:7" x14ac:dyDescent="0.25">
      <c r="A46" s="30"/>
      <c r="B46" s="30"/>
      <c r="C46" s="40"/>
      <c r="D46" s="40"/>
    </row>
    <row r="47" spans="1:7" x14ac:dyDescent="0.25">
      <c r="A47" s="30"/>
      <c r="B47" s="30"/>
      <c r="C47" s="40"/>
      <c r="D47" s="40"/>
    </row>
    <row r="48" spans="1:7" x14ac:dyDescent="0.25">
      <c r="A48" s="30"/>
      <c r="B48" s="30"/>
      <c r="C48" s="40"/>
      <c r="D48" s="40"/>
    </row>
    <row r="49" spans="1:4" x14ac:dyDescent="0.25">
      <c r="A49" s="30"/>
      <c r="B49" s="30"/>
      <c r="C49" s="40"/>
      <c r="D49" s="40"/>
    </row>
    <row r="50" spans="1:4" x14ac:dyDescent="0.25">
      <c r="A50" s="30"/>
      <c r="B50" s="30"/>
      <c r="C50" s="40"/>
      <c r="D50" s="40"/>
    </row>
    <row r="51" spans="1:4" x14ac:dyDescent="0.25">
      <c r="A51" s="30"/>
      <c r="B51" s="30"/>
      <c r="C51" s="40"/>
      <c r="D51" s="40"/>
    </row>
    <row r="52" spans="1:4" x14ac:dyDescent="0.25">
      <c r="A52" s="30"/>
      <c r="B52" s="30"/>
      <c r="C52" s="40"/>
      <c r="D52" s="40"/>
    </row>
    <row r="53" spans="1:4" x14ac:dyDescent="0.25">
      <c r="A53" s="30"/>
      <c r="B53" s="30"/>
      <c r="C53" s="40"/>
      <c r="D53" s="40"/>
    </row>
    <row r="54" spans="1:4" ht="17.399999999999999" x14ac:dyDescent="0.3">
      <c r="A54" s="83" t="s">
        <v>67</v>
      </c>
      <c r="B54" s="84"/>
      <c r="C54" s="84"/>
      <c r="D54" s="84"/>
    </row>
    <row r="55" spans="1:4" ht="13.8" thickBot="1" x14ac:dyDescent="0.3">
      <c r="A55" s="52"/>
      <c r="B55" s="30"/>
      <c r="C55" s="40"/>
      <c r="D55" s="40"/>
    </row>
    <row r="56" spans="1:4" ht="13.8" thickBot="1" x14ac:dyDescent="0.3">
      <c r="A56" s="37" t="s">
        <v>61</v>
      </c>
      <c r="B56" s="38">
        <f>+C56+D56</f>
        <v>29499</v>
      </c>
      <c r="C56" s="39">
        <f>+C59+C72+C80</f>
        <v>13683</v>
      </c>
      <c r="D56" s="39">
        <f>+D59+D72+D80</f>
        <v>15816</v>
      </c>
    </row>
    <row r="57" spans="1:4" x14ac:dyDescent="0.25">
      <c r="A57" s="53"/>
      <c r="B57" s="30"/>
      <c r="C57" s="40"/>
      <c r="D57" s="40"/>
    </row>
    <row r="58" spans="1:4" ht="13.8" thickBot="1" x14ac:dyDescent="0.3">
      <c r="A58" s="30"/>
      <c r="B58" s="30"/>
      <c r="C58" s="40"/>
      <c r="D58" s="40"/>
    </row>
    <row r="59" spans="1:4" ht="13.8" thickBot="1" x14ac:dyDescent="0.3">
      <c r="A59" s="37" t="s">
        <v>28</v>
      </c>
      <c r="B59" s="38">
        <f>+C59+D59</f>
        <v>3033</v>
      </c>
      <c r="C59" s="39">
        <f>SUM(C60:C70)</f>
        <v>1324</v>
      </c>
      <c r="D59" s="39">
        <f>SUM(D60:D70)</f>
        <v>1709</v>
      </c>
    </row>
    <row r="60" spans="1:4" x14ac:dyDescent="0.25">
      <c r="A60" s="44" t="s">
        <v>62</v>
      </c>
      <c r="B60" s="42">
        <f>+C60+D60</f>
        <v>4</v>
      </c>
      <c r="C60" s="43">
        <v>3</v>
      </c>
      <c r="D60" s="43">
        <v>1</v>
      </c>
    </row>
    <row r="61" spans="1:4" x14ac:dyDescent="0.25">
      <c r="A61" s="44" t="s">
        <v>30</v>
      </c>
      <c r="B61" s="42">
        <f t="shared" ref="B61:B70" si="6">+C61+D61</f>
        <v>373</v>
      </c>
      <c r="C61" s="45">
        <v>165</v>
      </c>
      <c r="D61" s="45">
        <v>208</v>
      </c>
    </row>
    <row r="62" spans="1:4" x14ac:dyDescent="0.25">
      <c r="A62" s="41" t="s">
        <v>31</v>
      </c>
      <c r="B62" s="42">
        <f t="shared" si="6"/>
        <v>301</v>
      </c>
      <c r="C62" s="45">
        <v>134</v>
      </c>
      <c r="D62" s="45">
        <v>167</v>
      </c>
    </row>
    <row r="63" spans="1:4" x14ac:dyDescent="0.25">
      <c r="A63" s="44" t="s">
        <v>32</v>
      </c>
      <c r="B63" s="42">
        <f t="shared" si="6"/>
        <v>263</v>
      </c>
      <c r="C63" s="45">
        <v>112</v>
      </c>
      <c r="D63" s="45">
        <v>151</v>
      </c>
    </row>
    <row r="64" spans="1:4" x14ac:dyDescent="0.25">
      <c r="A64" s="44" t="s">
        <v>33</v>
      </c>
      <c r="B64" s="42">
        <f t="shared" si="6"/>
        <v>236</v>
      </c>
      <c r="C64" s="45">
        <v>105</v>
      </c>
      <c r="D64" s="45">
        <v>131</v>
      </c>
    </row>
    <row r="65" spans="1:6" x14ac:dyDescent="0.25">
      <c r="A65" s="44" t="s">
        <v>34</v>
      </c>
      <c r="B65" s="42">
        <f t="shared" si="6"/>
        <v>268</v>
      </c>
      <c r="C65" s="45">
        <v>121</v>
      </c>
      <c r="D65" s="45">
        <v>147</v>
      </c>
    </row>
    <row r="66" spans="1:6" x14ac:dyDescent="0.25">
      <c r="A66" s="44" t="s">
        <v>35</v>
      </c>
      <c r="B66" s="42">
        <f t="shared" si="6"/>
        <v>315</v>
      </c>
      <c r="C66" s="45">
        <v>138</v>
      </c>
      <c r="D66" s="45">
        <v>177</v>
      </c>
    </row>
    <row r="67" spans="1:6" x14ac:dyDescent="0.25">
      <c r="A67" s="44" t="s">
        <v>36</v>
      </c>
      <c r="B67" s="42">
        <f t="shared" si="6"/>
        <v>287</v>
      </c>
      <c r="C67" s="45">
        <v>123</v>
      </c>
      <c r="D67" s="45">
        <v>164</v>
      </c>
    </row>
    <row r="68" spans="1:6" x14ac:dyDescent="0.25">
      <c r="A68" s="44" t="s">
        <v>37</v>
      </c>
      <c r="B68" s="42">
        <f t="shared" si="6"/>
        <v>345</v>
      </c>
      <c r="C68" s="45">
        <v>157</v>
      </c>
      <c r="D68" s="45">
        <v>188</v>
      </c>
    </row>
    <row r="69" spans="1:6" x14ac:dyDescent="0.25">
      <c r="A69" s="44" t="s">
        <v>38</v>
      </c>
      <c r="B69" s="42">
        <f t="shared" si="6"/>
        <v>341</v>
      </c>
      <c r="C69" s="45">
        <v>135</v>
      </c>
      <c r="D69" s="45">
        <v>206</v>
      </c>
    </row>
    <row r="70" spans="1:6" x14ac:dyDescent="0.25">
      <c r="A70" s="44" t="s">
        <v>39</v>
      </c>
      <c r="B70" s="42">
        <f t="shared" si="6"/>
        <v>300</v>
      </c>
      <c r="C70" s="45">
        <v>131</v>
      </c>
      <c r="D70" s="45">
        <v>169</v>
      </c>
    </row>
    <row r="71" spans="1:6" ht="13.8" thickBot="1" x14ac:dyDescent="0.3">
      <c r="A71" s="46"/>
      <c r="B71" s="30"/>
      <c r="C71" s="40"/>
      <c r="D71" s="40"/>
    </row>
    <row r="72" spans="1:6" ht="13.8" thickBot="1" x14ac:dyDescent="0.3">
      <c r="A72" s="37" t="s">
        <v>40</v>
      </c>
      <c r="B72" s="38">
        <f>+C72+D72</f>
        <v>3369</v>
      </c>
      <c r="C72" s="39">
        <f>SUM(C73:C78)</f>
        <v>1670</v>
      </c>
      <c r="D72" s="39">
        <f>SUM(D73:D78)</f>
        <v>1699</v>
      </c>
      <c r="F72" s="1"/>
    </row>
    <row r="73" spans="1:6" x14ac:dyDescent="0.25">
      <c r="A73" s="41" t="s">
        <v>41</v>
      </c>
      <c r="B73" s="42">
        <f t="shared" ref="B73:B78" si="7">+C73+D73</f>
        <v>282</v>
      </c>
      <c r="C73" s="43">
        <v>125</v>
      </c>
      <c r="D73" s="43">
        <v>157</v>
      </c>
    </row>
    <row r="74" spans="1:6" x14ac:dyDescent="0.25">
      <c r="A74" s="41" t="s">
        <v>42</v>
      </c>
      <c r="B74" s="42">
        <f t="shared" si="7"/>
        <v>302</v>
      </c>
      <c r="C74" s="45">
        <v>155</v>
      </c>
      <c r="D74" s="45">
        <v>147</v>
      </c>
    </row>
    <row r="75" spans="1:6" x14ac:dyDescent="0.25">
      <c r="A75" s="41" t="s">
        <v>43</v>
      </c>
      <c r="B75" s="42">
        <f t="shared" si="7"/>
        <v>311</v>
      </c>
      <c r="C75" s="45">
        <v>143</v>
      </c>
      <c r="D75" s="45">
        <v>168</v>
      </c>
    </row>
    <row r="76" spans="1:6" x14ac:dyDescent="0.25">
      <c r="A76" s="41" t="s">
        <v>44</v>
      </c>
      <c r="B76" s="42">
        <f t="shared" si="7"/>
        <v>314</v>
      </c>
      <c r="C76" s="45">
        <v>156</v>
      </c>
      <c r="D76" s="45">
        <v>158</v>
      </c>
    </row>
    <row r="77" spans="1:6" x14ac:dyDescent="0.25">
      <c r="A77" s="41" t="s">
        <v>45</v>
      </c>
      <c r="B77" s="42">
        <f t="shared" si="7"/>
        <v>368</v>
      </c>
      <c r="C77" s="45">
        <v>174</v>
      </c>
      <c r="D77" s="45">
        <v>194</v>
      </c>
    </row>
    <row r="78" spans="1:6" x14ac:dyDescent="0.25">
      <c r="A78" s="44" t="s">
        <v>46</v>
      </c>
      <c r="B78" s="42">
        <f t="shared" si="7"/>
        <v>1792</v>
      </c>
      <c r="C78" s="45">
        <v>917</v>
      </c>
      <c r="D78" s="45">
        <v>875</v>
      </c>
    </row>
    <row r="79" spans="1:6" ht="13.8" thickBot="1" x14ac:dyDescent="0.3">
      <c r="A79" s="47"/>
      <c r="B79" s="30"/>
      <c r="C79" s="40"/>
      <c r="D79" s="40"/>
    </row>
    <row r="80" spans="1:6" ht="13.8" thickBot="1" x14ac:dyDescent="0.3">
      <c r="A80" s="37" t="s">
        <v>47</v>
      </c>
      <c r="B80" s="38">
        <f>+C80+D80</f>
        <v>23097</v>
      </c>
      <c r="C80" s="39">
        <f>SUM(C81:C93)</f>
        <v>10689</v>
      </c>
      <c r="D80" s="39">
        <f>SUM(D81:D93)</f>
        <v>12408</v>
      </c>
    </row>
    <row r="81" spans="1:4" x14ac:dyDescent="0.25">
      <c r="A81" s="48" t="s">
        <v>21</v>
      </c>
      <c r="B81" s="42">
        <f t="shared" ref="B81:B93" si="8">+C81+D81</f>
        <v>2011</v>
      </c>
      <c r="C81" s="43">
        <v>893</v>
      </c>
      <c r="D81" s="43">
        <v>1118</v>
      </c>
    </row>
    <row r="82" spans="1:4" x14ac:dyDescent="0.25">
      <c r="A82" s="48" t="s">
        <v>48</v>
      </c>
      <c r="B82" s="42">
        <f t="shared" si="8"/>
        <v>1951</v>
      </c>
      <c r="C82" s="45">
        <v>862</v>
      </c>
      <c r="D82" s="45">
        <v>1089</v>
      </c>
    </row>
    <row r="83" spans="1:4" x14ac:dyDescent="0.25">
      <c r="A83" s="48" t="s">
        <v>49</v>
      </c>
      <c r="B83" s="42">
        <f t="shared" si="8"/>
        <v>1846</v>
      </c>
      <c r="C83" s="45">
        <v>846</v>
      </c>
      <c r="D83" s="45">
        <v>1000</v>
      </c>
    </row>
    <row r="84" spans="1:4" x14ac:dyDescent="0.25">
      <c r="A84" s="48" t="s">
        <v>50</v>
      </c>
      <c r="B84" s="42">
        <f t="shared" si="8"/>
        <v>1655</v>
      </c>
      <c r="C84" s="45">
        <v>757</v>
      </c>
      <c r="D84" s="45">
        <v>898</v>
      </c>
    </row>
    <row r="85" spans="1:4" x14ac:dyDescent="0.25">
      <c r="A85" s="48" t="s">
        <v>51</v>
      </c>
      <c r="B85" s="42">
        <f t="shared" si="8"/>
        <v>1803</v>
      </c>
      <c r="C85" s="45">
        <v>875</v>
      </c>
      <c r="D85" s="45">
        <v>928</v>
      </c>
    </row>
    <row r="86" spans="1:4" x14ac:dyDescent="0.25">
      <c r="A86" s="48" t="s">
        <v>52</v>
      </c>
      <c r="B86" s="42">
        <f t="shared" si="8"/>
        <v>1815</v>
      </c>
      <c r="C86" s="45">
        <v>871</v>
      </c>
      <c r="D86" s="45">
        <v>944</v>
      </c>
    </row>
    <row r="87" spans="1:4" x14ac:dyDescent="0.25">
      <c r="A87" s="48" t="s">
        <v>53</v>
      </c>
      <c r="B87" s="42">
        <f t="shared" si="8"/>
        <v>2037</v>
      </c>
      <c r="C87" s="45">
        <v>943</v>
      </c>
      <c r="D87" s="45">
        <v>1094</v>
      </c>
    </row>
    <row r="88" spans="1:4" x14ac:dyDescent="0.25">
      <c r="A88" s="48" t="s">
        <v>54</v>
      </c>
      <c r="B88" s="42">
        <f t="shared" si="8"/>
        <v>1893</v>
      </c>
      <c r="C88" s="45">
        <v>838</v>
      </c>
      <c r="D88" s="45">
        <v>1055</v>
      </c>
    </row>
    <row r="89" spans="1:4" x14ac:dyDescent="0.25">
      <c r="A89" s="48" t="s">
        <v>55</v>
      </c>
      <c r="B89" s="42">
        <f t="shared" si="8"/>
        <v>1625</v>
      </c>
      <c r="C89" s="45">
        <v>767</v>
      </c>
      <c r="D89" s="45">
        <v>858</v>
      </c>
    </row>
    <row r="90" spans="1:4" x14ac:dyDescent="0.25">
      <c r="A90" s="49" t="s">
        <v>56</v>
      </c>
      <c r="B90" s="42">
        <f t="shared" si="8"/>
        <v>1610</v>
      </c>
      <c r="C90" s="45">
        <v>770</v>
      </c>
      <c r="D90" s="45">
        <v>840</v>
      </c>
    </row>
    <row r="91" spans="1:4" x14ac:dyDescent="0.25">
      <c r="A91" s="48" t="s">
        <v>57</v>
      </c>
      <c r="B91" s="42">
        <f t="shared" si="8"/>
        <v>1429</v>
      </c>
      <c r="C91" s="45">
        <v>663</v>
      </c>
      <c r="D91" s="45">
        <v>766</v>
      </c>
    </row>
    <row r="92" spans="1:4" x14ac:dyDescent="0.25">
      <c r="A92" s="48" t="s">
        <v>58</v>
      </c>
      <c r="B92" s="42">
        <f t="shared" si="8"/>
        <v>1198</v>
      </c>
      <c r="C92" s="45">
        <v>528</v>
      </c>
      <c r="D92" s="45">
        <v>670</v>
      </c>
    </row>
    <row r="93" spans="1:4" x14ac:dyDescent="0.25">
      <c r="A93" s="48" t="s">
        <v>59</v>
      </c>
      <c r="B93" s="42">
        <f t="shared" si="8"/>
        <v>2224</v>
      </c>
      <c r="C93" s="45">
        <v>1076</v>
      </c>
      <c r="D93" s="45">
        <v>1148</v>
      </c>
    </row>
    <row r="108" spans="1:4" ht="17.399999999999999" x14ac:dyDescent="0.3">
      <c r="A108" s="83" t="s">
        <v>66</v>
      </c>
      <c r="B108" s="84"/>
      <c r="C108" s="84"/>
      <c r="D108" s="84"/>
    </row>
    <row r="109" spans="1:4" ht="13.8" thickBot="1" x14ac:dyDescent="0.3">
      <c r="A109" s="52"/>
      <c r="B109" s="30"/>
      <c r="C109" s="40"/>
      <c r="D109" s="40"/>
    </row>
    <row r="110" spans="1:4" ht="13.8" thickBot="1" x14ac:dyDescent="0.3">
      <c r="A110" s="37" t="s">
        <v>64</v>
      </c>
      <c r="B110" s="38">
        <f>+C110+D110</f>
        <v>23644</v>
      </c>
      <c r="C110" s="39">
        <f>+C113+C126+C134</f>
        <v>11673</v>
      </c>
      <c r="D110" s="39">
        <f>+D113+D126+D134</f>
        <v>11971</v>
      </c>
    </row>
    <row r="111" spans="1:4" x14ac:dyDescent="0.25">
      <c r="A111" s="53"/>
      <c r="B111" s="30"/>
      <c r="C111" s="40"/>
      <c r="D111" s="40"/>
    </row>
    <row r="112" spans="1:4" ht="13.8" thickBot="1" x14ac:dyDescent="0.3">
      <c r="A112" s="30"/>
      <c r="B112" s="30"/>
      <c r="C112" s="40"/>
      <c r="D112" s="40"/>
    </row>
    <row r="113" spans="1:4" ht="13.8" thickBot="1" x14ac:dyDescent="0.3">
      <c r="A113" s="37" t="s">
        <v>28</v>
      </c>
      <c r="B113" s="38">
        <f>+C113+D113</f>
        <v>2955</v>
      </c>
      <c r="C113" s="39">
        <f>SUM(C114:C124)</f>
        <v>1340</v>
      </c>
      <c r="D113" s="39">
        <f>SUM(D114:D124)</f>
        <v>1615</v>
      </c>
    </row>
    <row r="114" spans="1:4" x14ac:dyDescent="0.25">
      <c r="A114" s="44" t="s">
        <v>62</v>
      </c>
      <c r="B114" s="42">
        <f>+C114+D114</f>
        <v>9</v>
      </c>
      <c r="C114" s="43">
        <v>6</v>
      </c>
      <c r="D114" s="43">
        <v>3</v>
      </c>
    </row>
    <row r="115" spans="1:4" x14ac:dyDescent="0.25">
      <c r="A115" s="44" t="s">
        <v>30</v>
      </c>
      <c r="B115" s="42">
        <f t="shared" ref="B115:B124" si="9">+C115+D115</f>
        <v>343</v>
      </c>
      <c r="C115" s="45">
        <v>132</v>
      </c>
      <c r="D115" s="45">
        <v>211</v>
      </c>
    </row>
    <row r="116" spans="1:4" x14ac:dyDescent="0.25">
      <c r="A116" s="41" t="s">
        <v>31</v>
      </c>
      <c r="B116" s="42">
        <f t="shared" si="9"/>
        <v>246</v>
      </c>
      <c r="C116" s="45">
        <v>105</v>
      </c>
      <c r="D116" s="45">
        <v>141</v>
      </c>
    </row>
    <row r="117" spans="1:4" x14ac:dyDescent="0.25">
      <c r="A117" s="44" t="s">
        <v>32</v>
      </c>
      <c r="B117" s="42">
        <f t="shared" si="9"/>
        <v>285</v>
      </c>
      <c r="C117" s="45">
        <v>124</v>
      </c>
      <c r="D117" s="45">
        <v>161</v>
      </c>
    </row>
    <row r="118" spans="1:4" x14ac:dyDescent="0.25">
      <c r="A118" s="44" t="s">
        <v>33</v>
      </c>
      <c r="B118" s="42">
        <f t="shared" si="9"/>
        <v>258</v>
      </c>
      <c r="C118" s="45">
        <v>140</v>
      </c>
      <c r="D118" s="45">
        <v>118</v>
      </c>
    </row>
    <row r="119" spans="1:4" x14ac:dyDescent="0.25">
      <c r="A119" s="44" t="s">
        <v>34</v>
      </c>
      <c r="B119" s="42">
        <f t="shared" si="9"/>
        <v>281</v>
      </c>
      <c r="C119" s="45">
        <v>147</v>
      </c>
      <c r="D119" s="45">
        <v>134</v>
      </c>
    </row>
    <row r="120" spans="1:4" x14ac:dyDescent="0.25">
      <c r="A120" s="44" t="s">
        <v>35</v>
      </c>
      <c r="B120" s="42">
        <f t="shared" si="9"/>
        <v>337</v>
      </c>
      <c r="C120" s="45">
        <v>148</v>
      </c>
      <c r="D120" s="45">
        <v>189</v>
      </c>
    </row>
    <row r="121" spans="1:4" x14ac:dyDescent="0.25">
      <c r="A121" s="44" t="s">
        <v>36</v>
      </c>
      <c r="B121" s="42">
        <f t="shared" si="9"/>
        <v>309</v>
      </c>
      <c r="C121" s="45">
        <v>135</v>
      </c>
      <c r="D121" s="45">
        <v>174</v>
      </c>
    </row>
    <row r="122" spans="1:4" x14ac:dyDescent="0.25">
      <c r="A122" s="44" t="s">
        <v>37</v>
      </c>
      <c r="B122" s="42">
        <f t="shared" si="9"/>
        <v>315</v>
      </c>
      <c r="C122" s="45">
        <v>147</v>
      </c>
      <c r="D122" s="45">
        <v>168</v>
      </c>
    </row>
    <row r="123" spans="1:4" x14ac:dyDescent="0.25">
      <c r="A123" s="44" t="s">
        <v>38</v>
      </c>
      <c r="B123" s="42">
        <f t="shared" si="9"/>
        <v>260</v>
      </c>
      <c r="C123" s="45">
        <v>127</v>
      </c>
      <c r="D123" s="45">
        <v>133</v>
      </c>
    </row>
    <row r="124" spans="1:4" x14ac:dyDescent="0.25">
      <c r="A124" s="44" t="s">
        <v>39</v>
      </c>
      <c r="B124" s="42">
        <f t="shared" si="9"/>
        <v>312</v>
      </c>
      <c r="C124" s="45">
        <v>129</v>
      </c>
      <c r="D124" s="45">
        <v>183</v>
      </c>
    </row>
    <row r="125" spans="1:4" ht="13.8" thickBot="1" x14ac:dyDescent="0.3">
      <c r="A125" s="46"/>
      <c r="B125" s="30"/>
      <c r="C125" s="40"/>
      <c r="D125" s="40"/>
    </row>
    <row r="126" spans="1:4" ht="13.8" thickBot="1" x14ac:dyDescent="0.3">
      <c r="A126" s="37" t="s">
        <v>40</v>
      </c>
      <c r="B126" s="38">
        <f>+C126+D126</f>
        <v>3533</v>
      </c>
      <c r="C126" s="39">
        <f>SUM(C127:C132)</f>
        <v>1696</v>
      </c>
      <c r="D126" s="39">
        <f>SUM(D127:D132)</f>
        <v>1837</v>
      </c>
    </row>
    <row r="127" spans="1:4" x14ac:dyDescent="0.25">
      <c r="A127" s="41" t="s">
        <v>41</v>
      </c>
      <c r="B127" s="42">
        <f t="shared" ref="B127:B132" si="10">+C127+D127</f>
        <v>302</v>
      </c>
      <c r="C127" s="43">
        <v>152</v>
      </c>
      <c r="D127" s="43">
        <v>150</v>
      </c>
    </row>
    <row r="128" spans="1:4" x14ac:dyDescent="0.25">
      <c r="A128" s="41" t="s">
        <v>42</v>
      </c>
      <c r="B128" s="42">
        <f t="shared" si="10"/>
        <v>311</v>
      </c>
      <c r="C128" s="45">
        <v>151</v>
      </c>
      <c r="D128" s="45">
        <v>160</v>
      </c>
    </row>
    <row r="129" spans="1:7" x14ac:dyDescent="0.25">
      <c r="A129" s="41" t="s">
        <v>43</v>
      </c>
      <c r="B129" s="42">
        <f t="shared" si="10"/>
        <v>310</v>
      </c>
      <c r="C129" s="45">
        <v>139</v>
      </c>
      <c r="D129" s="45">
        <v>171</v>
      </c>
    </row>
    <row r="130" spans="1:7" x14ac:dyDescent="0.25">
      <c r="A130" s="41" t="s">
        <v>44</v>
      </c>
      <c r="B130" s="42">
        <f t="shared" si="10"/>
        <v>327</v>
      </c>
      <c r="C130" s="45">
        <v>149</v>
      </c>
      <c r="D130" s="45">
        <v>178</v>
      </c>
    </row>
    <row r="131" spans="1:7" x14ac:dyDescent="0.25">
      <c r="A131" s="41" t="s">
        <v>45</v>
      </c>
      <c r="B131" s="42">
        <f t="shared" si="10"/>
        <v>352</v>
      </c>
      <c r="C131" s="45">
        <v>157</v>
      </c>
      <c r="D131" s="45">
        <v>195</v>
      </c>
    </row>
    <row r="132" spans="1:7" x14ac:dyDescent="0.25">
      <c r="A132" s="44" t="s">
        <v>46</v>
      </c>
      <c r="B132" s="42">
        <f t="shared" si="10"/>
        <v>1931</v>
      </c>
      <c r="C132" s="45">
        <v>948</v>
      </c>
      <c r="D132" s="45">
        <v>983</v>
      </c>
    </row>
    <row r="133" spans="1:7" ht="13.8" thickBot="1" x14ac:dyDescent="0.3">
      <c r="A133" s="47"/>
      <c r="B133" s="30"/>
      <c r="C133" s="40"/>
      <c r="D133" s="40"/>
    </row>
    <row r="134" spans="1:7" ht="13.8" thickBot="1" x14ac:dyDescent="0.3">
      <c r="A134" s="37" t="s">
        <v>47</v>
      </c>
      <c r="B134" s="38">
        <f>+C134+D134</f>
        <v>17156</v>
      </c>
      <c r="C134" s="39">
        <f>SUM(C135:C147)</f>
        <v>8637</v>
      </c>
      <c r="D134" s="39">
        <f>SUM(D135:D147)</f>
        <v>8519</v>
      </c>
    </row>
    <row r="135" spans="1:7" x14ac:dyDescent="0.25">
      <c r="A135" s="48" t="s">
        <v>21</v>
      </c>
      <c r="B135" s="42">
        <f t="shared" ref="B135:B147" si="11">+C135+D135</f>
        <v>1773</v>
      </c>
      <c r="C135" s="43">
        <v>916</v>
      </c>
      <c r="D135" s="43">
        <v>857</v>
      </c>
      <c r="G135" s="1"/>
    </row>
    <row r="136" spans="1:7" x14ac:dyDescent="0.25">
      <c r="A136" s="48" t="s">
        <v>48</v>
      </c>
      <c r="B136" s="42">
        <f t="shared" si="11"/>
        <v>1560</v>
      </c>
      <c r="C136" s="45">
        <v>776</v>
      </c>
      <c r="D136" s="45">
        <v>784</v>
      </c>
    </row>
    <row r="137" spans="1:7" x14ac:dyDescent="0.25">
      <c r="A137" s="48" t="s">
        <v>49</v>
      </c>
      <c r="B137" s="42">
        <f t="shared" si="11"/>
        <v>1321</v>
      </c>
      <c r="C137" s="45">
        <v>618</v>
      </c>
      <c r="D137" s="45">
        <v>703</v>
      </c>
    </row>
    <row r="138" spans="1:7" x14ac:dyDescent="0.25">
      <c r="A138" s="48" t="s">
        <v>50</v>
      </c>
      <c r="B138" s="42">
        <f t="shared" si="11"/>
        <v>1169</v>
      </c>
      <c r="C138" s="45">
        <v>552</v>
      </c>
      <c r="D138" s="45">
        <v>617</v>
      </c>
    </row>
    <row r="139" spans="1:7" x14ac:dyDescent="0.25">
      <c r="A139" s="48" t="s">
        <v>51</v>
      </c>
      <c r="B139" s="42">
        <f t="shared" si="11"/>
        <v>1302</v>
      </c>
      <c r="C139" s="45">
        <v>648</v>
      </c>
      <c r="D139" s="45">
        <v>654</v>
      </c>
    </row>
    <row r="140" spans="1:7" x14ac:dyDescent="0.25">
      <c r="A140" s="48" t="s">
        <v>52</v>
      </c>
      <c r="B140" s="42">
        <f t="shared" si="11"/>
        <v>1370</v>
      </c>
      <c r="C140" s="45">
        <v>645</v>
      </c>
      <c r="D140" s="45">
        <v>725</v>
      </c>
    </row>
    <row r="141" spans="1:7" x14ac:dyDescent="0.25">
      <c r="A141" s="48" t="s">
        <v>53</v>
      </c>
      <c r="B141" s="42">
        <f t="shared" si="11"/>
        <v>1542</v>
      </c>
      <c r="C141" s="45">
        <v>731</v>
      </c>
      <c r="D141" s="45">
        <v>811</v>
      </c>
    </row>
    <row r="142" spans="1:7" x14ac:dyDescent="0.25">
      <c r="A142" s="48" t="s">
        <v>54</v>
      </c>
      <c r="B142" s="42">
        <f t="shared" si="11"/>
        <v>1378</v>
      </c>
      <c r="C142" s="45">
        <v>684</v>
      </c>
      <c r="D142" s="45">
        <v>694</v>
      </c>
    </row>
    <row r="143" spans="1:7" x14ac:dyDescent="0.25">
      <c r="A143" s="48" t="s">
        <v>55</v>
      </c>
      <c r="B143" s="42">
        <f t="shared" si="11"/>
        <v>1249</v>
      </c>
      <c r="C143" s="45">
        <v>575</v>
      </c>
      <c r="D143" s="45">
        <v>674</v>
      </c>
    </row>
    <row r="144" spans="1:7" x14ac:dyDescent="0.25">
      <c r="A144" s="49" t="s">
        <v>56</v>
      </c>
      <c r="B144" s="42">
        <f t="shared" si="11"/>
        <v>1224</v>
      </c>
      <c r="C144" s="45">
        <v>663</v>
      </c>
      <c r="D144" s="45">
        <v>561</v>
      </c>
    </row>
    <row r="145" spans="1:4" x14ac:dyDescent="0.25">
      <c r="A145" s="48" t="s">
        <v>57</v>
      </c>
      <c r="B145" s="42">
        <f t="shared" si="11"/>
        <v>1027</v>
      </c>
      <c r="C145" s="45">
        <v>520</v>
      </c>
      <c r="D145" s="45">
        <v>507</v>
      </c>
    </row>
    <row r="146" spans="1:4" x14ac:dyDescent="0.25">
      <c r="A146" s="48" t="s">
        <v>58</v>
      </c>
      <c r="B146" s="42">
        <f t="shared" si="11"/>
        <v>805</v>
      </c>
      <c r="C146" s="45">
        <v>420</v>
      </c>
      <c r="D146" s="45">
        <v>385</v>
      </c>
    </row>
    <row r="147" spans="1:4" x14ac:dyDescent="0.25">
      <c r="A147" s="48" t="s">
        <v>59</v>
      </c>
      <c r="B147" s="42">
        <f t="shared" si="11"/>
        <v>1436</v>
      </c>
      <c r="C147" s="45">
        <v>889</v>
      </c>
      <c r="D147" s="45">
        <v>547</v>
      </c>
    </row>
  </sheetData>
  <mergeCells count="6">
    <mergeCell ref="A108:D108"/>
    <mergeCell ref="A2:D2"/>
    <mergeCell ref="A4:D4"/>
    <mergeCell ref="C5:D5"/>
    <mergeCell ref="G9:H9"/>
    <mergeCell ref="A54:D5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7"/>
  <sheetViews>
    <sheetView workbookViewId="0">
      <selection activeCell="H6" sqref="H6"/>
    </sheetView>
  </sheetViews>
  <sheetFormatPr baseColWidth="10" defaultRowHeight="13.2" x14ac:dyDescent="0.25"/>
  <cols>
    <col min="1" max="1" width="24" customWidth="1"/>
    <col min="2" max="4" width="15.6640625" customWidth="1"/>
    <col min="5" max="5" width="3.44140625" customWidth="1"/>
  </cols>
  <sheetData>
    <row r="1" spans="1:8" x14ac:dyDescent="0.25">
      <c r="A1" s="29"/>
      <c r="B1" s="29"/>
      <c r="C1" s="29"/>
      <c r="D1" s="29"/>
    </row>
    <row r="2" spans="1:8" ht="22.8" x14ac:dyDescent="0.25">
      <c r="A2" s="79" t="s">
        <v>22</v>
      </c>
      <c r="B2" s="80"/>
      <c r="C2" s="80"/>
      <c r="D2" s="80"/>
    </row>
    <row r="3" spans="1:8" x14ac:dyDescent="0.25">
      <c r="A3" s="30"/>
      <c r="B3" s="31"/>
      <c r="C3" s="31"/>
      <c r="D3" s="31"/>
    </row>
    <row r="4" spans="1:8" ht="18" thickBot="1" x14ac:dyDescent="0.35">
      <c r="A4" s="85" t="s">
        <v>69</v>
      </c>
      <c r="B4" s="86"/>
      <c r="C4" s="86"/>
      <c r="D4" s="86"/>
    </row>
    <row r="5" spans="1:8" ht="13.8" thickBot="1" x14ac:dyDescent="0.3">
      <c r="A5" s="32"/>
      <c r="B5" s="33" t="s">
        <v>23</v>
      </c>
      <c r="C5" s="81" t="s">
        <v>24</v>
      </c>
      <c r="D5" s="82"/>
    </row>
    <row r="6" spans="1:8" ht="13.8" thickBot="1" x14ac:dyDescent="0.3">
      <c r="A6" s="34" t="s">
        <v>25</v>
      </c>
      <c r="B6" s="35" t="s">
        <v>26</v>
      </c>
      <c r="C6" s="36" t="s">
        <v>4</v>
      </c>
      <c r="D6" s="36" t="s">
        <v>15</v>
      </c>
    </row>
    <row r="7" spans="1:8" ht="13.8" thickBot="1" x14ac:dyDescent="0.3">
      <c r="A7" s="37" t="s">
        <v>27</v>
      </c>
      <c r="B7" s="38">
        <f>+B9+B22+B30</f>
        <v>53992</v>
      </c>
      <c r="C7" s="39">
        <f>+C9+C22+C30</f>
        <v>25554</v>
      </c>
      <c r="D7" s="39">
        <f>+D9+D22+D30</f>
        <v>28438</v>
      </c>
    </row>
    <row r="8" spans="1:8" ht="13.8" thickBot="1" x14ac:dyDescent="0.3">
      <c r="A8" s="30"/>
      <c r="B8" s="30"/>
      <c r="C8" s="40"/>
      <c r="D8" s="40"/>
      <c r="H8" s="55"/>
    </row>
    <row r="9" spans="1:8" ht="13.8" thickBot="1" x14ac:dyDescent="0.3">
      <c r="A9" s="37" t="s">
        <v>28</v>
      </c>
      <c r="B9" s="38">
        <f>+C9+D9</f>
        <v>6291</v>
      </c>
      <c r="C9" s="39">
        <f>SUM(C10:C20)</f>
        <v>2746</v>
      </c>
      <c r="D9" s="39">
        <f>SUM(D10:D20)</f>
        <v>3545</v>
      </c>
    </row>
    <row r="10" spans="1:8" x14ac:dyDescent="0.25">
      <c r="A10" s="41" t="s">
        <v>29</v>
      </c>
      <c r="B10" s="42">
        <f>+C10+D10</f>
        <v>49</v>
      </c>
      <c r="C10" s="43">
        <f>+C60+C114</f>
        <v>30</v>
      </c>
      <c r="D10" s="43">
        <f t="shared" ref="D10:D20" si="0">+D60+D114</f>
        <v>19</v>
      </c>
    </row>
    <row r="11" spans="1:8" x14ac:dyDescent="0.25">
      <c r="A11" s="44" t="s">
        <v>30</v>
      </c>
      <c r="B11" s="42">
        <f t="shared" ref="B11:B20" si="1">+C11+D11</f>
        <v>689</v>
      </c>
      <c r="C11" s="43">
        <f t="shared" ref="C11:C20" si="2">+C61+C115</f>
        <v>302</v>
      </c>
      <c r="D11" s="43">
        <f t="shared" si="0"/>
        <v>387</v>
      </c>
    </row>
    <row r="12" spans="1:8" x14ac:dyDescent="0.25">
      <c r="A12" s="41" t="s">
        <v>31</v>
      </c>
      <c r="B12" s="42">
        <f t="shared" si="1"/>
        <v>735</v>
      </c>
      <c r="C12" s="43">
        <f t="shared" si="2"/>
        <v>280</v>
      </c>
      <c r="D12" s="43">
        <f t="shared" si="0"/>
        <v>455</v>
      </c>
    </row>
    <row r="13" spans="1:8" x14ac:dyDescent="0.25">
      <c r="A13" s="44" t="s">
        <v>32</v>
      </c>
      <c r="B13" s="42">
        <f t="shared" si="1"/>
        <v>548</v>
      </c>
      <c r="C13" s="43">
        <f t="shared" si="2"/>
        <v>237</v>
      </c>
      <c r="D13" s="43">
        <f t="shared" si="0"/>
        <v>311</v>
      </c>
    </row>
    <row r="14" spans="1:8" x14ac:dyDescent="0.25">
      <c r="A14" s="44" t="s">
        <v>33</v>
      </c>
      <c r="B14" s="42">
        <f t="shared" si="1"/>
        <v>579</v>
      </c>
      <c r="C14" s="43">
        <f t="shared" si="2"/>
        <v>230</v>
      </c>
      <c r="D14" s="43">
        <f t="shared" si="0"/>
        <v>349</v>
      </c>
    </row>
    <row r="15" spans="1:8" x14ac:dyDescent="0.25">
      <c r="A15" s="44" t="s">
        <v>34</v>
      </c>
      <c r="B15" s="42">
        <f t="shared" si="1"/>
        <v>537</v>
      </c>
      <c r="C15" s="43">
        <f t="shared" si="2"/>
        <v>264</v>
      </c>
      <c r="D15" s="43">
        <f t="shared" si="0"/>
        <v>273</v>
      </c>
    </row>
    <row r="16" spans="1:8" x14ac:dyDescent="0.25">
      <c r="A16" s="44" t="s">
        <v>35</v>
      </c>
      <c r="B16" s="42">
        <f t="shared" si="1"/>
        <v>578</v>
      </c>
      <c r="C16" s="43">
        <f t="shared" si="2"/>
        <v>271</v>
      </c>
      <c r="D16" s="43">
        <f t="shared" si="0"/>
        <v>307</v>
      </c>
    </row>
    <row r="17" spans="1:6" x14ac:dyDescent="0.25">
      <c r="A17" s="44" t="s">
        <v>36</v>
      </c>
      <c r="B17" s="42">
        <f t="shared" si="1"/>
        <v>667</v>
      </c>
      <c r="C17" s="43">
        <f t="shared" si="2"/>
        <v>274</v>
      </c>
      <c r="D17" s="43">
        <f t="shared" si="0"/>
        <v>393</v>
      </c>
    </row>
    <row r="18" spans="1:6" x14ac:dyDescent="0.25">
      <c r="A18" s="44" t="s">
        <v>37</v>
      </c>
      <c r="B18" s="42">
        <f t="shared" si="1"/>
        <v>616</v>
      </c>
      <c r="C18" s="43">
        <f t="shared" si="2"/>
        <v>268</v>
      </c>
      <c r="D18" s="43">
        <f t="shared" si="0"/>
        <v>348</v>
      </c>
    </row>
    <row r="19" spans="1:6" x14ac:dyDescent="0.25">
      <c r="A19" s="44" t="s">
        <v>38</v>
      </c>
      <c r="B19" s="42">
        <f t="shared" si="1"/>
        <v>682</v>
      </c>
      <c r="C19" s="43">
        <f t="shared" si="2"/>
        <v>318</v>
      </c>
      <c r="D19" s="43">
        <f t="shared" si="0"/>
        <v>364</v>
      </c>
    </row>
    <row r="20" spans="1:6" x14ac:dyDescent="0.25">
      <c r="A20" s="44" t="s">
        <v>39</v>
      </c>
      <c r="B20" s="42">
        <f t="shared" si="1"/>
        <v>611</v>
      </c>
      <c r="C20" s="43">
        <f t="shared" si="2"/>
        <v>272</v>
      </c>
      <c r="D20" s="43">
        <f t="shared" si="0"/>
        <v>339</v>
      </c>
    </row>
    <row r="21" spans="1:6" ht="13.8" thickBot="1" x14ac:dyDescent="0.3">
      <c r="A21" s="46"/>
      <c r="B21" s="30"/>
      <c r="C21" s="40"/>
      <c r="D21" s="40"/>
    </row>
    <row r="22" spans="1:6" ht="13.8" thickBot="1" x14ac:dyDescent="0.3">
      <c r="A22" s="37" t="s">
        <v>40</v>
      </c>
      <c r="B22" s="38">
        <f>+C22+D22</f>
        <v>6852</v>
      </c>
      <c r="C22" s="39">
        <f>SUM(C23:C28)</f>
        <v>3269</v>
      </c>
      <c r="D22" s="39">
        <f>SUM(D23:D28)</f>
        <v>3583</v>
      </c>
    </row>
    <row r="23" spans="1:6" x14ac:dyDescent="0.25">
      <c r="A23" s="41" t="s">
        <v>41</v>
      </c>
      <c r="B23" s="42">
        <f t="shared" ref="B23:B28" si="3">+C23+D23</f>
        <v>634</v>
      </c>
      <c r="C23" s="43">
        <f t="shared" ref="C23:D28" si="4">+C73+C127</f>
        <v>264</v>
      </c>
      <c r="D23" s="43">
        <f t="shared" si="4"/>
        <v>370</v>
      </c>
    </row>
    <row r="24" spans="1:6" x14ac:dyDescent="0.25">
      <c r="A24" s="41" t="s">
        <v>42</v>
      </c>
      <c r="B24" s="42">
        <f t="shared" si="3"/>
        <v>603</v>
      </c>
      <c r="C24" s="43">
        <f t="shared" si="4"/>
        <v>283</v>
      </c>
      <c r="D24" s="43">
        <f t="shared" si="4"/>
        <v>320</v>
      </c>
    </row>
    <row r="25" spans="1:6" x14ac:dyDescent="0.25">
      <c r="A25" s="41" t="s">
        <v>43</v>
      </c>
      <c r="B25" s="42">
        <f t="shared" si="3"/>
        <v>613</v>
      </c>
      <c r="C25" s="43">
        <f t="shared" si="4"/>
        <v>305</v>
      </c>
      <c r="D25" s="43">
        <f t="shared" si="4"/>
        <v>308</v>
      </c>
    </row>
    <row r="26" spans="1:6" x14ac:dyDescent="0.25">
      <c r="A26" s="41" t="s">
        <v>44</v>
      </c>
      <c r="B26" s="42">
        <f t="shared" si="3"/>
        <v>625</v>
      </c>
      <c r="C26" s="43">
        <f t="shared" si="4"/>
        <v>281</v>
      </c>
      <c r="D26" s="43">
        <f t="shared" si="4"/>
        <v>344</v>
      </c>
    </row>
    <row r="27" spans="1:6" x14ac:dyDescent="0.25">
      <c r="A27" s="41" t="s">
        <v>45</v>
      </c>
      <c r="B27" s="42">
        <f t="shared" si="3"/>
        <v>664</v>
      </c>
      <c r="C27" s="43">
        <f t="shared" si="4"/>
        <v>317</v>
      </c>
      <c r="D27" s="43">
        <f t="shared" si="4"/>
        <v>347</v>
      </c>
    </row>
    <row r="28" spans="1:6" x14ac:dyDescent="0.25">
      <c r="A28" s="44" t="s">
        <v>46</v>
      </c>
      <c r="B28" s="42">
        <f t="shared" si="3"/>
        <v>3713</v>
      </c>
      <c r="C28" s="43">
        <f t="shared" si="4"/>
        <v>1819</v>
      </c>
      <c r="D28" s="43">
        <f t="shared" si="4"/>
        <v>1894</v>
      </c>
    </row>
    <row r="29" spans="1:6" ht="13.8" thickBot="1" x14ac:dyDescent="0.3">
      <c r="A29" s="47"/>
      <c r="B29" s="30"/>
      <c r="C29" s="40"/>
      <c r="D29" s="40"/>
      <c r="F29" s="1"/>
    </row>
    <row r="30" spans="1:6" ht="13.8" thickBot="1" x14ac:dyDescent="0.3">
      <c r="A30" s="37" t="s">
        <v>47</v>
      </c>
      <c r="B30" s="38">
        <f>+C30+D30</f>
        <v>40849</v>
      </c>
      <c r="C30" s="39">
        <f>SUM(C31:C43)</f>
        <v>19539</v>
      </c>
      <c r="D30" s="39">
        <f>SUM(D31:D43)</f>
        <v>21310</v>
      </c>
    </row>
    <row r="31" spans="1:6" x14ac:dyDescent="0.25">
      <c r="A31" s="48" t="s">
        <v>21</v>
      </c>
      <c r="B31" s="42">
        <f t="shared" ref="B31:B43" si="5">+C31+D31</f>
        <v>3720</v>
      </c>
      <c r="C31" s="43">
        <f t="shared" ref="C31:D43" si="6">+C81+C135</f>
        <v>1800</v>
      </c>
      <c r="D31" s="43">
        <f t="shared" si="6"/>
        <v>1920</v>
      </c>
    </row>
    <row r="32" spans="1:6" x14ac:dyDescent="0.25">
      <c r="A32" s="48" t="s">
        <v>48</v>
      </c>
      <c r="B32" s="42">
        <f t="shared" si="5"/>
        <v>3624</v>
      </c>
      <c r="C32" s="43">
        <f t="shared" si="6"/>
        <v>1681</v>
      </c>
      <c r="D32" s="43">
        <f t="shared" si="6"/>
        <v>1943</v>
      </c>
    </row>
    <row r="33" spans="1:4" x14ac:dyDescent="0.25">
      <c r="A33" s="48" t="s">
        <v>49</v>
      </c>
      <c r="B33" s="42">
        <f t="shared" si="5"/>
        <v>3160</v>
      </c>
      <c r="C33" s="43">
        <f t="shared" si="6"/>
        <v>1436</v>
      </c>
      <c r="D33" s="43">
        <f t="shared" si="6"/>
        <v>1724</v>
      </c>
    </row>
    <row r="34" spans="1:4" x14ac:dyDescent="0.25">
      <c r="A34" s="48" t="s">
        <v>50</v>
      </c>
      <c r="B34" s="42">
        <f t="shared" si="5"/>
        <v>2889</v>
      </c>
      <c r="C34" s="43">
        <f t="shared" si="6"/>
        <v>1334</v>
      </c>
      <c r="D34" s="43">
        <f t="shared" si="6"/>
        <v>1555</v>
      </c>
    </row>
    <row r="35" spans="1:4" x14ac:dyDescent="0.25">
      <c r="A35" s="48" t="s">
        <v>51</v>
      </c>
      <c r="B35" s="42">
        <f t="shared" si="5"/>
        <v>3126</v>
      </c>
      <c r="C35" s="43">
        <f t="shared" si="6"/>
        <v>1516</v>
      </c>
      <c r="D35" s="43">
        <f t="shared" si="6"/>
        <v>1610</v>
      </c>
    </row>
    <row r="36" spans="1:4" x14ac:dyDescent="0.25">
      <c r="A36" s="48" t="s">
        <v>52</v>
      </c>
      <c r="B36" s="42">
        <f t="shared" si="5"/>
        <v>3193</v>
      </c>
      <c r="C36" s="43">
        <f t="shared" si="6"/>
        <v>1549</v>
      </c>
      <c r="D36" s="43">
        <f t="shared" si="6"/>
        <v>1644</v>
      </c>
    </row>
    <row r="37" spans="1:4" x14ac:dyDescent="0.25">
      <c r="A37" s="48" t="s">
        <v>53</v>
      </c>
      <c r="B37" s="42">
        <f t="shared" si="5"/>
        <v>3552</v>
      </c>
      <c r="C37" s="43">
        <f t="shared" si="6"/>
        <v>1642</v>
      </c>
      <c r="D37" s="43">
        <f t="shared" si="6"/>
        <v>1910</v>
      </c>
    </row>
    <row r="38" spans="1:4" x14ac:dyDescent="0.25">
      <c r="A38" s="48" t="s">
        <v>54</v>
      </c>
      <c r="B38" s="42">
        <f t="shared" si="5"/>
        <v>3490</v>
      </c>
      <c r="C38" s="43">
        <f t="shared" si="6"/>
        <v>1598</v>
      </c>
      <c r="D38" s="43">
        <f t="shared" si="6"/>
        <v>1892</v>
      </c>
    </row>
    <row r="39" spans="1:4" x14ac:dyDescent="0.25">
      <c r="A39" s="48" t="s">
        <v>55</v>
      </c>
      <c r="B39" s="42">
        <f t="shared" si="5"/>
        <v>2952</v>
      </c>
      <c r="C39" s="43">
        <f t="shared" si="6"/>
        <v>1374</v>
      </c>
      <c r="D39" s="43">
        <f t="shared" si="6"/>
        <v>1578</v>
      </c>
    </row>
    <row r="40" spans="1:4" x14ac:dyDescent="0.25">
      <c r="A40" s="49" t="s">
        <v>56</v>
      </c>
      <c r="B40" s="42">
        <f t="shared" si="5"/>
        <v>2841</v>
      </c>
      <c r="C40" s="43">
        <f t="shared" si="6"/>
        <v>1381</v>
      </c>
      <c r="D40" s="43">
        <f t="shared" si="6"/>
        <v>1460</v>
      </c>
    </row>
    <row r="41" spans="1:4" x14ac:dyDescent="0.25">
      <c r="A41" s="48" t="s">
        <v>57</v>
      </c>
      <c r="B41" s="42">
        <f t="shared" si="5"/>
        <v>2493</v>
      </c>
      <c r="C41" s="43">
        <f t="shared" si="6"/>
        <v>1251</v>
      </c>
      <c r="D41" s="43">
        <f t="shared" si="6"/>
        <v>1242</v>
      </c>
    </row>
    <row r="42" spans="1:4" x14ac:dyDescent="0.25">
      <c r="A42" s="48" t="s">
        <v>58</v>
      </c>
      <c r="B42" s="42">
        <f t="shared" si="5"/>
        <v>2050</v>
      </c>
      <c r="C42" s="43">
        <f t="shared" si="6"/>
        <v>984</v>
      </c>
      <c r="D42" s="43">
        <f t="shared" si="6"/>
        <v>1066</v>
      </c>
    </row>
    <row r="43" spans="1:4" x14ac:dyDescent="0.25">
      <c r="A43" s="48" t="s">
        <v>59</v>
      </c>
      <c r="B43" s="42">
        <f t="shared" si="5"/>
        <v>3759</v>
      </c>
      <c r="C43" s="43">
        <f t="shared" si="6"/>
        <v>1993</v>
      </c>
      <c r="D43" s="43">
        <f t="shared" si="6"/>
        <v>1766</v>
      </c>
    </row>
    <row r="44" spans="1:4" x14ac:dyDescent="0.25">
      <c r="A44" s="50"/>
      <c r="B44" s="51"/>
      <c r="C44" s="51"/>
      <c r="D44" s="51"/>
    </row>
    <row r="45" spans="1:4" x14ac:dyDescent="0.25">
      <c r="A45" s="30"/>
      <c r="B45" s="30"/>
      <c r="C45" s="40"/>
      <c r="D45" s="40"/>
    </row>
    <row r="46" spans="1:4" x14ac:dyDescent="0.25">
      <c r="A46" s="30"/>
      <c r="B46" s="30"/>
      <c r="C46" s="40"/>
      <c r="D46" s="40"/>
    </row>
    <row r="47" spans="1:4" x14ac:dyDescent="0.25">
      <c r="A47" s="30"/>
      <c r="B47" s="30"/>
      <c r="C47" s="40"/>
      <c r="D47" s="40"/>
    </row>
    <row r="48" spans="1:4" x14ac:dyDescent="0.25">
      <c r="A48" s="30"/>
      <c r="B48" s="30"/>
      <c r="C48" s="40"/>
      <c r="D48" s="40"/>
    </row>
    <row r="49" spans="1:4" x14ac:dyDescent="0.25">
      <c r="A49" s="30"/>
      <c r="B49" s="30"/>
      <c r="C49" s="40"/>
      <c r="D49" s="40"/>
    </row>
    <row r="50" spans="1:4" x14ac:dyDescent="0.25">
      <c r="A50" s="30"/>
      <c r="B50" s="30"/>
      <c r="C50" s="40"/>
      <c r="D50" s="40"/>
    </row>
    <row r="51" spans="1:4" x14ac:dyDescent="0.25">
      <c r="A51" s="30"/>
      <c r="B51" s="30"/>
      <c r="C51" s="40"/>
      <c r="D51" s="40"/>
    </row>
    <row r="52" spans="1:4" x14ac:dyDescent="0.25">
      <c r="A52" s="30"/>
      <c r="B52" s="30"/>
      <c r="C52" s="40"/>
      <c r="D52" s="40"/>
    </row>
    <row r="53" spans="1:4" x14ac:dyDescent="0.25">
      <c r="A53" s="30"/>
      <c r="B53" s="30"/>
      <c r="C53" s="40"/>
      <c r="D53" s="40"/>
    </row>
    <row r="54" spans="1:4" ht="17.399999999999999" x14ac:dyDescent="0.3">
      <c r="A54" s="83" t="s">
        <v>70</v>
      </c>
      <c r="B54" s="84"/>
      <c r="C54" s="84"/>
      <c r="D54" s="84"/>
    </row>
    <row r="55" spans="1:4" ht="13.8" thickBot="1" x14ac:dyDescent="0.3">
      <c r="A55" s="52"/>
      <c r="B55" s="30"/>
      <c r="C55" s="40"/>
      <c r="D55" s="40"/>
    </row>
    <row r="56" spans="1:4" ht="13.8" thickBot="1" x14ac:dyDescent="0.3">
      <c r="A56" s="37" t="s">
        <v>61</v>
      </c>
      <c r="B56" s="38">
        <f>+C56+D56</f>
        <v>30069</v>
      </c>
      <c r="C56" s="39">
        <f>+C59+C72+C80</f>
        <v>13834</v>
      </c>
      <c r="D56" s="39">
        <f>+D59+D72+D80</f>
        <v>16235</v>
      </c>
    </row>
    <row r="57" spans="1:4" x14ac:dyDescent="0.25">
      <c r="A57" s="53"/>
      <c r="B57" s="30"/>
      <c r="C57" s="40"/>
      <c r="D57" s="40"/>
    </row>
    <row r="58" spans="1:4" ht="13.8" thickBot="1" x14ac:dyDescent="0.3">
      <c r="A58" s="30"/>
      <c r="B58" s="30"/>
      <c r="C58" s="40"/>
      <c r="D58" s="40"/>
    </row>
    <row r="59" spans="1:4" ht="13.8" thickBot="1" x14ac:dyDescent="0.3">
      <c r="A59" s="37" t="s">
        <v>28</v>
      </c>
      <c r="B59" s="38">
        <f>+C59+D59</f>
        <v>3127</v>
      </c>
      <c r="C59" s="39">
        <f>SUM(C60:C70)</f>
        <v>1348</v>
      </c>
      <c r="D59" s="39">
        <f>SUM(D60:D70)</f>
        <v>1779</v>
      </c>
    </row>
    <row r="60" spans="1:4" x14ac:dyDescent="0.25">
      <c r="A60" s="44" t="s">
        <v>62</v>
      </c>
      <c r="B60" s="42">
        <f>+C60+D60</f>
        <v>39</v>
      </c>
      <c r="C60" s="43">
        <v>23</v>
      </c>
      <c r="D60" s="43">
        <v>16</v>
      </c>
    </row>
    <row r="61" spans="1:4" x14ac:dyDescent="0.25">
      <c r="A61" s="44" t="s">
        <v>30</v>
      </c>
      <c r="B61" s="42">
        <f t="shared" ref="B61:B70" si="7">+C61+D61</f>
        <v>319</v>
      </c>
      <c r="C61" s="45">
        <v>145</v>
      </c>
      <c r="D61" s="45">
        <v>174</v>
      </c>
    </row>
    <row r="62" spans="1:4" x14ac:dyDescent="0.25">
      <c r="A62" s="41" t="s">
        <v>31</v>
      </c>
      <c r="B62" s="42">
        <f t="shared" si="7"/>
        <v>371</v>
      </c>
      <c r="C62" s="45">
        <v>148</v>
      </c>
      <c r="D62" s="45">
        <v>223</v>
      </c>
    </row>
    <row r="63" spans="1:4" x14ac:dyDescent="0.25">
      <c r="A63" s="44" t="s">
        <v>32</v>
      </c>
      <c r="B63" s="42">
        <f t="shared" si="7"/>
        <v>272</v>
      </c>
      <c r="C63" s="45">
        <v>117</v>
      </c>
      <c r="D63" s="45">
        <v>155</v>
      </c>
    </row>
    <row r="64" spans="1:4" x14ac:dyDescent="0.25">
      <c r="A64" s="44" t="s">
        <v>33</v>
      </c>
      <c r="B64" s="42">
        <f t="shared" si="7"/>
        <v>273</v>
      </c>
      <c r="C64" s="45">
        <v>110</v>
      </c>
      <c r="D64" s="45">
        <v>163</v>
      </c>
    </row>
    <row r="65" spans="1:6" x14ac:dyDescent="0.25">
      <c r="A65" s="44" t="s">
        <v>34</v>
      </c>
      <c r="B65" s="42">
        <f t="shared" si="7"/>
        <v>263</v>
      </c>
      <c r="C65" s="45">
        <v>116</v>
      </c>
      <c r="D65" s="45">
        <v>147</v>
      </c>
    </row>
    <row r="66" spans="1:6" x14ac:dyDescent="0.25">
      <c r="A66" s="44" t="s">
        <v>35</v>
      </c>
      <c r="B66" s="42">
        <f t="shared" si="7"/>
        <v>278</v>
      </c>
      <c r="C66" s="45">
        <v>127</v>
      </c>
      <c r="D66" s="45">
        <v>151</v>
      </c>
    </row>
    <row r="67" spans="1:6" x14ac:dyDescent="0.25">
      <c r="A67" s="44" t="s">
        <v>36</v>
      </c>
      <c r="B67" s="42">
        <f t="shared" si="7"/>
        <v>323</v>
      </c>
      <c r="C67" s="45">
        <v>131</v>
      </c>
      <c r="D67" s="45">
        <v>192</v>
      </c>
    </row>
    <row r="68" spans="1:6" x14ac:dyDescent="0.25">
      <c r="A68" s="44" t="s">
        <v>37</v>
      </c>
      <c r="B68" s="42">
        <f t="shared" si="7"/>
        <v>297</v>
      </c>
      <c r="C68" s="45">
        <v>130</v>
      </c>
      <c r="D68" s="45">
        <v>167</v>
      </c>
    </row>
    <row r="69" spans="1:6" x14ac:dyDescent="0.25">
      <c r="A69" s="44" t="s">
        <v>38</v>
      </c>
      <c r="B69" s="42">
        <f t="shared" si="7"/>
        <v>356</v>
      </c>
      <c r="C69" s="45">
        <v>166</v>
      </c>
      <c r="D69" s="45">
        <v>190</v>
      </c>
    </row>
    <row r="70" spans="1:6" x14ac:dyDescent="0.25">
      <c r="A70" s="44" t="s">
        <v>39</v>
      </c>
      <c r="B70" s="42">
        <f t="shared" si="7"/>
        <v>336</v>
      </c>
      <c r="C70" s="45">
        <v>135</v>
      </c>
      <c r="D70" s="45">
        <v>201</v>
      </c>
    </row>
    <row r="71" spans="1:6" ht="13.8" thickBot="1" x14ac:dyDescent="0.3">
      <c r="A71" s="46"/>
      <c r="B71" s="30"/>
      <c r="C71" s="40"/>
      <c r="D71" s="40"/>
    </row>
    <row r="72" spans="1:6" ht="13.8" thickBot="1" x14ac:dyDescent="0.3">
      <c r="A72" s="37" t="s">
        <v>40</v>
      </c>
      <c r="B72" s="38">
        <f>+C72+D72</f>
        <v>3354</v>
      </c>
      <c r="C72" s="39">
        <f>SUM(C73:C78)</f>
        <v>1614</v>
      </c>
      <c r="D72" s="39">
        <f>SUM(D73:D78)</f>
        <v>1740</v>
      </c>
      <c r="F72" s="1"/>
    </row>
    <row r="73" spans="1:6" x14ac:dyDescent="0.25">
      <c r="A73" s="41" t="s">
        <v>41</v>
      </c>
      <c r="B73" s="42">
        <f t="shared" ref="B73:B78" si="8">+C73+D73</f>
        <v>308</v>
      </c>
      <c r="C73" s="43">
        <v>125</v>
      </c>
      <c r="D73" s="43">
        <v>183</v>
      </c>
    </row>
    <row r="74" spans="1:6" x14ac:dyDescent="0.25">
      <c r="A74" s="41" t="s">
        <v>42</v>
      </c>
      <c r="B74" s="42">
        <f t="shared" si="8"/>
        <v>288</v>
      </c>
      <c r="C74" s="45">
        <v>122</v>
      </c>
      <c r="D74" s="45">
        <v>166</v>
      </c>
    </row>
    <row r="75" spans="1:6" x14ac:dyDescent="0.25">
      <c r="A75" s="41" t="s">
        <v>43</v>
      </c>
      <c r="B75" s="42">
        <f t="shared" si="8"/>
        <v>300</v>
      </c>
      <c r="C75" s="45">
        <v>150</v>
      </c>
      <c r="D75" s="45">
        <v>150</v>
      </c>
    </row>
    <row r="76" spans="1:6" x14ac:dyDescent="0.25">
      <c r="A76" s="41" t="s">
        <v>44</v>
      </c>
      <c r="B76" s="42">
        <f t="shared" si="8"/>
        <v>316</v>
      </c>
      <c r="C76" s="45">
        <v>146</v>
      </c>
      <c r="D76" s="45">
        <v>170</v>
      </c>
    </row>
    <row r="77" spans="1:6" x14ac:dyDescent="0.25">
      <c r="A77" s="41" t="s">
        <v>45</v>
      </c>
      <c r="B77" s="42">
        <f t="shared" si="8"/>
        <v>326</v>
      </c>
      <c r="C77" s="45">
        <v>160</v>
      </c>
      <c r="D77" s="45">
        <v>166</v>
      </c>
    </row>
    <row r="78" spans="1:6" x14ac:dyDescent="0.25">
      <c r="A78" s="44" t="s">
        <v>46</v>
      </c>
      <c r="B78" s="42">
        <f t="shared" si="8"/>
        <v>1816</v>
      </c>
      <c r="C78" s="45">
        <v>911</v>
      </c>
      <c r="D78" s="45">
        <v>905</v>
      </c>
    </row>
    <row r="79" spans="1:6" ht="13.8" thickBot="1" x14ac:dyDescent="0.3">
      <c r="A79" s="47"/>
      <c r="B79" s="30"/>
      <c r="C79" s="40"/>
      <c r="D79" s="40"/>
    </row>
    <row r="80" spans="1:6" ht="13.8" thickBot="1" x14ac:dyDescent="0.3">
      <c r="A80" s="37" t="s">
        <v>47</v>
      </c>
      <c r="B80" s="38">
        <f>+C80+D80</f>
        <v>23588</v>
      </c>
      <c r="C80" s="39">
        <f>SUM(C81:C93)</f>
        <v>10872</v>
      </c>
      <c r="D80" s="39">
        <f>SUM(D81:D93)</f>
        <v>12716</v>
      </c>
    </row>
    <row r="81" spans="1:4" x14ac:dyDescent="0.25">
      <c r="A81" s="48" t="s">
        <v>21</v>
      </c>
      <c r="B81" s="42">
        <f t="shared" ref="B81:B93" si="9">+C81+D81</f>
        <v>2002</v>
      </c>
      <c r="C81" s="43">
        <v>899</v>
      </c>
      <c r="D81" s="43">
        <v>1103</v>
      </c>
    </row>
    <row r="82" spans="1:4" x14ac:dyDescent="0.25">
      <c r="A82" s="48" t="s">
        <v>48</v>
      </c>
      <c r="B82" s="42">
        <f t="shared" si="9"/>
        <v>2035</v>
      </c>
      <c r="C82" s="45">
        <v>915</v>
      </c>
      <c r="D82" s="45">
        <v>1120</v>
      </c>
    </row>
    <row r="83" spans="1:4" x14ac:dyDescent="0.25">
      <c r="A83" s="48" t="s">
        <v>49</v>
      </c>
      <c r="B83" s="42">
        <f t="shared" si="9"/>
        <v>1878</v>
      </c>
      <c r="C83" s="45">
        <v>829</v>
      </c>
      <c r="D83" s="45">
        <v>1049</v>
      </c>
    </row>
    <row r="84" spans="1:4" x14ac:dyDescent="0.25">
      <c r="A84" s="48" t="s">
        <v>50</v>
      </c>
      <c r="B84" s="42">
        <f t="shared" si="9"/>
        <v>1710</v>
      </c>
      <c r="C84" s="45">
        <v>783</v>
      </c>
      <c r="D84" s="45">
        <v>927</v>
      </c>
    </row>
    <row r="85" spans="1:4" x14ac:dyDescent="0.25">
      <c r="A85" s="48" t="s">
        <v>51</v>
      </c>
      <c r="B85" s="42">
        <f t="shared" si="9"/>
        <v>1809</v>
      </c>
      <c r="C85" s="45">
        <v>863</v>
      </c>
      <c r="D85" s="45">
        <v>946</v>
      </c>
    </row>
    <row r="86" spans="1:4" x14ac:dyDescent="0.25">
      <c r="A86" s="48" t="s">
        <v>52</v>
      </c>
      <c r="B86" s="42">
        <f t="shared" si="9"/>
        <v>1869</v>
      </c>
      <c r="C86" s="45">
        <v>905</v>
      </c>
      <c r="D86" s="45">
        <v>964</v>
      </c>
    </row>
    <row r="87" spans="1:4" x14ac:dyDescent="0.25">
      <c r="A87" s="48" t="s">
        <v>53</v>
      </c>
      <c r="B87" s="42">
        <f t="shared" si="9"/>
        <v>2013</v>
      </c>
      <c r="C87" s="45">
        <v>938</v>
      </c>
      <c r="D87" s="45">
        <v>1075</v>
      </c>
    </row>
    <row r="88" spans="1:4" x14ac:dyDescent="0.25">
      <c r="A88" s="48" t="s">
        <v>54</v>
      </c>
      <c r="B88" s="42">
        <f t="shared" si="9"/>
        <v>2015</v>
      </c>
      <c r="C88" s="45">
        <v>881</v>
      </c>
      <c r="D88" s="45">
        <v>1134</v>
      </c>
    </row>
    <row r="89" spans="1:4" x14ac:dyDescent="0.25">
      <c r="A89" s="48" t="s">
        <v>55</v>
      </c>
      <c r="B89" s="42">
        <f t="shared" si="9"/>
        <v>1687</v>
      </c>
      <c r="C89" s="45">
        <v>781</v>
      </c>
      <c r="D89" s="45">
        <v>906</v>
      </c>
    </row>
    <row r="90" spans="1:4" x14ac:dyDescent="0.25">
      <c r="A90" s="49" t="s">
        <v>56</v>
      </c>
      <c r="B90" s="42">
        <f t="shared" si="9"/>
        <v>1634</v>
      </c>
      <c r="C90" s="45">
        <v>752</v>
      </c>
      <c r="D90" s="45">
        <v>882</v>
      </c>
    </row>
    <row r="91" spans="1:4" x14ac:dyDescent="0.25">
      <c r="A91" s="48" t="s">
        <v>57</v>
      </c>
      <c r="B91" s="42">
        <f t="shared" si="9"/>
        <v>1434</v>
      </c>
      <c r="C91" s="45">
        <v>690</v>
      </c>
      <c r="D91" s="45">
        <v>744</v>
      </c>
    </row>
    <row r="92" spans="1:4" x14ac:dyDescent="0.25">
      <c r="A92" s="48" t="s">
        <v>58</v>
      </c>
      <c r="B92" s="42">
        <f t="shared" si="9"/>
        <v>1233</v>
      </c>
      <c r="C92" s="45">
        <v>558</v>
      </c>
      <c r="D92" s="45">
        <v>675</v>
      </c>
    </row>
    <row r="93" spans="1:4" x14ac:dyDescent="0.25">
      <c r="A93" s="48" t="s">
        <v>59</v>
      </c>
      <c r="B93" s="42">
        <f t="shared" si="9"/>
        <v>2269</v>
      </c>
      <c r="C93" s="45">
        <v>1078</v>
      </c>
      <c r="D93" s="45">
        <v>1191</v>
      </c>
    </row>
    <row r="108" spans="1:4" ht="17.399999999999999" x14ac:dyDescent="0.3">
      <c r="A108" s="83" t="s">
        <v>71</v>
      </c>
      <c r="B108" s="84"/>
      <c r="C108" s="84"/>
      <c r="D108" s="84"/>
    </row>
    <row r="109" spans="1:4" ht="13.8" thickBot="1" x14ac:dyDescent="0.3">
      <c r="A109" s="52"/>
      <c r="B109" s="30"/>
      <c r="C109" s="40"/>
      <c r="D109" s="40"/>
    </row>
    <row r="110" spans="1:4" ht="13.8" thickBot="1" x14ac:dyDescent="0.3">
      <c r="A110" s="37" t="s">
        <v>64</v>
      </c>
      <c r="B110" s="38">
        <f>+C110+D110</f>
        <v>23923</v>
      </c>
      <c r="C110" s="39">
        <f>+C113+C126+C134</f>
        <v>11720</v>
      </c>
      <c r="D110" s="39">
        <f>+D113+D126+D134</f>
        <v>12203</v>
      </c>
    </row>
    <row r="111" spans="1:4" x14ac:dyDescent="0.25">
      <c r="A111" s="53"/>
      <c r="B111" s="30"/>
      <c r="C111" s="40"/>
      <c r="D111" s="40"/>
    </row>
    <row r="112" spans="1:4" ht="13.8" thickBot="1" x14ac:dyDescent="0.3">
      <c r="A112" s="30"/>
      <c r="B112" s="30"/>
      <c r="C112" s="40"/>
      <c r="D112" s="40"/>
    </row>
    <row r="113" spans="1:4" ht="13.8" thickBot="1" x14ac:dyDescent="0.3">
      <c r="A113" s="37" t="s">
        <v>28</v>
      </c>
      <c r="B113" s="38">
        <f>+C113+D113</f>
        <v>3164</v>
      </c>
      <c r="C113" s="39">
        <f>SUM(C114:C124)</f>
        <v>1398</v>
      </c>
      <c r="D113" s="39">
        <f>SUM(D114:D124)</f>
        <v>1766</v>
      </c>
    </row>
    <row r="114" spans="1:4" x14ac:dyDescent="0.25">
      <c r="A114" s="44" t="s">
        <v>62</v>
      </c>
      <c r="B114" s="42">
        <f>+C114+D114</f>
        <v>10</v>
      </c>
      <c r="C114" s="43">
        <v>7</v>
      </c>
      <c r="D114" s="43">
        <v>3</v>
      </c>
    </row>
    <row r="115" spans="1:4" x14ac:dyDescent="0.25">
      <c r="A115" s="44" t="s">
        <v>30</v>
      </c>
      <c r="B115" s="42">
        <f t="shared" ref="B115:B124" si="10">+C115+D115</f>
        <v>370</v>
      </c>
      <c r="C115" s="45">
        <v>157</v>
      </c>
      <c r="D115" s="45">
        <v>213</v>
      </c>
    </row>
    <row r="116" spans="1:4" x14ac:dyDescent="0.25">
      <c r="A116" s="41" t="s">
        <v>31</v>
      </c>
      <c r="B116" s="42">
        <f t="shared" si="10"/>
        <v>364</v>
      </c>
      <c r="C116" s="45">
        <v>132</v>
      </c>
      <c r="D116" s="45">
        <v>232</v>
      </c>
    </row>
    <row r="117" spans="1:4" x14ac:dyDescent="0.25">
      <c r="A117" s="44" t="s">
        <v>32</v>
      </c>
      <c r="B117" s="42">
        <f t="shared" si="10"/>
        <v>276</v>
      </c>
      <c r="C117" s="45">
        <v>120</v>
      </c>
      <c r="D117" s="45">
        <v>156</v>
      </c>
    </row>
    <row r="118" spans="1:4" x14ac:dyDescent="0.25">
      <c r="A118" s="44" t="s">
        <v>33</v>
      </c>
      <c r="B118" s="42">
        <f t="shared" si="10"/>
        <v>306</v>
      </c>
      <c r="C118" s="45">
        <v>120</v>
      </c>
      <c r="D118" s="45">
        <v>186</v>
      </c>
    </row>
    <row r="119" spans="1:4" x14ac:dyDescent="0.25">
      <c r="A119" s="44" t="s">
        <v>34</v>
      </c>
      <c r="B119" s="42">
        <f t="shared" si="10"/>
        <v>274</v>
      </c>
      <c r="C119" s="45">
        <v>148</v>
      </c>
      <c r="D119" s="45">
        <v>126</v>
      </c>
    </row>
    <row r="120" spans="1:4" x14ac:dyDescent="0.25">
      <c r="A120" s="44" t="s">
        <v>35</v>
      </c>
      <c r="B120" s="42">
        <f t="shared" si="10"/>
        <v>300</v>
      </c>
      <c r="C120" s="45">
        <v>144</v>
      </c>
      <c r="D120" s="45">
        <v>156</v>
      </c>
    </row>
    <row r="121" spans="1:4" x14ac:dyDescent="0.25">
      <c r="A121" s="44" t="s">
        <v>36</v>
      </c>
      <c r="B121" s="42">
        <f t="shared" si="10"/>
        <v>344</v>
      </c>
      <c r="C121" s="45">
        <v>143</v>
      </c>
      <c r="D121" s="45">
        <v>201</v>
      </c>
    </row>
    <row r="122" spans="1:4" x14ac:dyDescent="0.25">
      <c r="A122" s="44" t="s">
        <v>37</v>
      </c>
      <c r="B122" s="42">
        <f t="shared" si="10"/>
        <v>319</v>
      </c>
      <c r="C122" s="45">
        <v>138</v>
      </c>
      <c r="D122" s="45">
        <v>181</v>
      </c>
    </row>
    <row r="123" spans="1:4" x14ac:dyDescent="0.25">
      <c r="A123" s="44" t="s">
        <v>38</v>
      </c>
      <c r="B123" s="42">
        <f t="shared" si="10"/>
        <v>326</v>
      </c>
      <c r="C123" s="45">
        <v>152</v>
      </c>
      <c r="D123" s="45">
        <v>174</v>
      </c>
    </row>
    <row r="124" spans="1:4" x14ac:dyDescent="0.25">
      <c r="A124" s="44" t="s">
        <v>39</v>
      </c>
      <c r="B124" s="42">
        <f t="shared" si="10"/>
        <v>275</v>
      </c>
      <c r="C124" s="45">
        <v>137</v>
      </c>
      <c r="D124" s="45">
        <v>138</v>
      </c>
    </row>
    <row r="125" spans="1:4" ht="13.8" thickBot="1" x14ac:dyDescent="0.3">
      <c r="A125" s="46"/>
      <c r="B125" s="30"/>
      <c r="C125" s="40"/>
      <c r="D125" s="40"/>
    </row>
    <row r="126" spans="1:4" ht="13.8" thickBot="1" x14ac:dyDescent="0.3">
      <c r="A126" s="37" t="s">
        <v>40</v>
      </c>
      <c r="B126" s="38">
        <f>+C126+D126</f>
        <v>3498</v>
      </c>
      <c r="C126" s="39">
        <f>SUM(C127:C132)</f>
        <v>1655</v>
      </c>
      <c r="D126" s="39">
        <f>SUM(D127:D132)</f>
        <v>1843</v>
      </c>
    </row>
    <row r="127" spans="1:4" x14ac:dyDescent="0.25">
      <c r="A127" s="41" t="s">
        <v>41</v>
      </c>
      <c r="B127" s="42">
        <f t="shared" ref="B127:B132" si="11">+C127+D127</f>
        <v>326</v>
      </c>
      <c r="C127" s="43">
        <v>139</v>
      </c>
      <c r="D127" s="43">
        <v>187</v>
      </c>
    </row>
    <row r="128" spans="1:4" x14ac:dyDescent="0.25">
      <c r="A128" s="41" t="s">
        <v>42</v>
      </c>
      <c r="B128" s="42">
        <f t="shared" si="11"/>
        <v>315</v>
      </c>
      <c r="C128" s="45">
        <v>161</v>
      </c>
      <c r="D128" s="45">
        <v>154</v>
      </c>
    </row>
    <row r="129" spans="1:4" x14ac:dyDescent="0.25">
      <c r="A129" s="41" t="s">
        <v>43</v>
      </c>
      <c r="B129" s="42">
        <f t="shared" si="11"/>
        <v>313</v>
      </c>
      <c r="C129" s="45">
        <v>155</v>
      </c>
      <c r="D129" s="45">
        <v>158</v>
      </c>
    </row>
    <row r="130" spans="1:4" x14ac:dyDescent="0.25">
      <c r="A130" s="41" t="s">
        <v>44</v>
      </c>
      <c r="B130" s="42">
        <f t="shared" si="11"/>
        <v>309</v>
      </c>
      <c r="C130" s="45">
        <v>135</v>
      </c>
      <c r="D130" s="45">
        <v>174</v>
      </c>
    </row>
    <row r="131" spans="1:4" x14ac:dyDescent="0.25">
      <c r="A131" s="41" t="s">
        <v>45</v>
      </c>
      <c r="B131" s="42">
        <f t="shared" si="11"/>
        <v>338</v>
      </c>
      <c r="C131" s="45">
        <v>157</v>
      </c>
      <c r="D131" s="45">
        <v>181</v>
      </c>
    </row>
    <row r="132" spans="1:4" x14ac:dyDescent="0.25">
      <c r="A132" s="44" t="s">
        <v>46</v>
      </c>
      <c r="B132" s="42">
        <f t="shared" si="11"/>
        <v>1897</v>
      </c>
      <c r="C132" s="45">
        <v>908</v>
      </c>
      <c r="D132" s="45">
        <v>989</v>
      </c>
    </row>
    <row r="133" spans="1:4" ht="13.8" thickBot="1" x14ac:dyDescent="0.3">
      <c r="A133" s="47"/>
      <c r="B133" s="30"/>
      <c r="C133" s="40"/>
      <c r="D133" s="40"/>
    </row>
    <row r="134" spans="1:4" ht="13.8" thickBot="1" x14ac:dyDescent="0.3">
      <c r="A134" s="37" t="s">
        <v>47</v>
      </c>
      <c r="B134" s="38">
        <f>+C134+D134</f>
        <v>17261</v>
      </c>
      <c r="C134" s="39">
        <f>SUM(C135:C147)</f>
        <v>8667</v>
      </c>
      <c r="D134" s="39">
        <f>SUM(D135:D147)</f>
        <v>8594</v>
      </c>
    </row>
    <row r="135" spans="1:4" x14ac:dyDescent="0.25">
      <c r="A135" s="48" t="s">
        <v>21</v>
      </c>
      <c r="B135" s="42">
        <f t="shared" ref="B135:B147" si="12">+C135+D135</f>
        <v>1718</v>
      </c>
      <c r="C135" s="43">
        <v>901</v>
      </c>
      <c r="D135" s="43">
        <v>817</v>
      </c>
    </row>
    <row r="136" spans="1:4" x14ac:dyDescent="0.25">
      <c r="A136" s="48" t="s">
        <v>48</v>
      </c>
      <c r="B136" s="42">
        <f t="shared" si="12"/>
        <v>1589</v>
      </c>
      <c r="C136" s="45">
        <v>766</v>
      </c>
      <c r="D136" s="45">
        <v>823</v>
      </c>
    </row>
    <row r="137" spans="1:4" x14ac:dyDescent="0.25">
      <c r="A137" s="48" t="s">
        <v>49</v>
      </c>
      <c r="B137" s="42">
        <f t="shared" si="12"/>
        <v>1282</v>
      </c>
      <c r="C137" s="45">
        <v>607</v>
      </c>
      <c r="D137" s="45">
        <v>675</v>
      </c>
    </row>
    <row r="138" spans="1:4" x14ac:dyDescent="0.25">
      <c r="A138" s="48" t="s">
        <v>50</v>
      </c>
      <c r="B138" s="42">
        <f t="shared" si="12"/>
        <v>1179</v>
      </c>
      <c r="C138" s="45">
        <v>551</v>
      </c>
      <c r="D138" s="45">
        <v>628</v>
      </c>
    </row>
    <row r="139" spans="1:4" x14ac:dyDescent="0.25">
      <c r="A139" s="48" t="s">
        <v>51</v>
      </c>
      <c r="B139" s="42">
        <f t="shared" si="12"/>
        <v>1317</v>
      </c>
      <c r="C139" s="45">
        <v>653</v>
      </c>
      <c r="D139" s="45">
        <v>664</v>
      </c>
    </row>
    <row r="140" spans="1:4" x14ac:dyDescent="0.25">
      <c r="A140" s="48" t="s">
        <v>52</v>
      </c>
      <c r="B140" s="42">
        <f t="shared" si="12"/>
        <v>1324</v>
      </c>
      <c r="C140" s="45">
        <v>644</v>
      </c>
      <c r="D140" s="45">
        <v>680</v>
      </c>
    </row>
    <row r="141" spans="1:4" x14ac:dyDescent="0.25">
      <c r="A141" s="48" t="s">
        <v>53</v>
      </c>
      <c r="B141" s="42">
        <f t="shared" si="12"/>
        <v>1539</v>
      </c>
      <c r="C141" s="45">
        <v>704</v>
      </c>
      <c r="D141" s="45">
        <v>835</v>
      </c>
    </row>
    <row r="142" spans="1:4" x14ac:dyDescent="0.25">
      <c r="A142" s="48" t="s">
        <v>54</v>
      </c>
      <c r="B142" s="42">
        <f t="shared" si="12"/>
        <v>1475</v>
      </c>
      <c r="C142" s="45">
        <v>717</v>
      </c>
      <c r="D142" s="45">
        <v>758</v>
      </c>
    </row>
    <row r="143" spans="1:4" x14ac:dyDescent="0.25">
      <c r="A143" s="48" t="s">
        <v>55</v>
      </c>
      <c r="B143" s="42">
        <f t="shared" si="12"/>
        <v>1265</v>
      </c>
      <c r="C143" s="45">
        <v>593</v>
      </c>
      <c r="D143" s="45">
        <v>672</v>
      </c>
    </row>
    <row r="144" spans="1:4" x14ac:dyDescent="0.25">
      <c r="A144" s="49" t="s">
        <v>56</v>
      </c>
      <c r="B144" s="42">
        <f t="shared" si="12"/>
        <v>1207</v>
      </c>
      <c r="C144" s="45">
        <v>629</v>
      </c>
      <c r="D144" s="45">
        <v>578</v>
      </c>
    </row>
    <row r="145" spans="1:4" x14ac:dyDescent="0.25">
      <c r="A145" s="48" t="s">
        <v>57</v>
      </c>
      <c r="B145" s="42">
        <f t="shared" si="12"/>
        <v>1059</v>
      </c>
      <c r="C145" s="45">
        <v>561</v>
      </c>
      <c r="D145" s="45">
        <v>498</v>
      </c>
    </row>
    <row r="146" spans="1:4" x14ac:dyDescent="0.25">
      <c r="A146" s="48" t="s">
        <v>58</v>
      </c>
      <c r="B146" s="42">
        <f t="shared" si="12"/>
        <v>817</v>
      </c>
      <c r="C146" s="45">
        <v>426</v>
      </c>
      <c r="D146" s="45">
        <v>391</v>
      </c>
    </row>
    <row r="147" spans="1:4" x14ac:dyDescent="0.25">
      <c r="A147" s="48" t="s">
        <v>59</v>
      </c>
      <c r="B147" s="42">
        <f t="shared" si="12"/>
        <v>1490</v>
      </c>
      <c r="C147" s="45">
        <v>915</v>
      </c>
      <c r="D147" s="45">
        <v>575</v>
      </c>
    </row>
  </sheetData>
  <mergeCells count="5">
    <mergeCell ref="A2:D2"/>
    <mergeCell ref="A4:D4"/>
    <mergeCell ref="C5:D5"/>
    <mergeCell ref="A54:D54"/>
    <mergeCell ref="A108:D10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7"/>
  <sheetViews>
    <sheetView workbookViewId="0">
      <selection activeCell="F9" sqref="F9"/>
    </sheetView>
  </sheetViews>
  <sheetFormatPr baseColWidth="10" defaultRowHeight="13.2" x14ac:dyDescent="0.25"/>
  <cols>
    <col min="1" max="1" width="26.109375" customWidth="1"/>
    <col min="2" max="2" width="23.33203125" customWidth="1"/>
    <col min="3" max="4" width="19.44140625" customWidth="1"/>
    <col min="5" max="5" width="3.44140625" customWidth="1"/>
  </cols>
  <sheetData>
    <row r="1" spans="1:4" x14ac:dyDescent="0.25">
      <c r="A1" s="29"/>
      <c r="B1" s="29"/>
      <c r="C1" s="29"/>
      <c r="D1" s="29"/>
    </row>
    <row r="2" spans="1:4" ht="22.8" x14ac:dyDescent="0.25">
      <c r="A2" s="79" t="s">
        <v>74</v>
      </c>
      <c r="B2" s="80"/>
      <c r="C2" s="80"/>
      <c r="D2" s="80"/>
    </row>
    <row r="3" spans="1:4" x14ac:dyDescent="0.25">
      <c r="A3" s="30"/>
      <c r="B3" s="31"/>
      <c r="C3" s="31"/>
      <c r="D3" s="31"/>
    </row>
    <row r="4" spans="1:4" ht="18" thickBot="1" x14ac:dyDescent="0.35">
      <c r="A4" s="85" t="s">
        <v>73</v>
      </c>
      <c r="B4" s="86"/>
      <c r="C4" s="86"/>
      <c r="D4" s="86"/>
    </row>
    <row r="5" spans="1:4" ht="13.8" thickBot="1" x14ac:dyDescent="0.3">
      <c r="A5" s="32"/>
      <c r="B5" s="33" t="s">
        <v>23</v>
      </c>
      <c r="C5" s="81" t="s">
        <v>24</v>
      </c>
      <c r="D5" s="82"/>
    </row>
    <row r="6" spans="1:4" ht="13.8" thickBot="1" x14ac:dyDescent="0.3">
      <c r="A6" s="34" t="s">
        <v>25</v>
      </c>
      <c r="B6" s="35" t="s">
        <v>26</v>
      </c>
      <c r="C6" s="36" t="s">
        <v>4</v>
      </c>
      <c r="D6" s="36" t="s">
        <v>15</v>
      </c>
    </row>
    <row r="7" spans="1:4" ht="13.8" thickBot="1" x14ac:dyDescent="0.3">
      <c r="A7" s="37" t="s">
        <v>27</v>
      </c>
      <c r="B7" s="38">
        <f>+B9+B22+B30</f>
        <v>53107</v>
      </c>
      <c r="C7" s="39">
        <f>+C9+C22+C30</f>
        <v>24346</v>
      </c>
      <c r="D7" s="39">
        <f>+D9+D22+D30</f>
        <v>28761</v>
      </c>
    </row>
    <row r="8" spans="1:4" ht="13.8" thickBot="1" x14ac:dyDescent="0.3">
      <c r="A8" s="30"/>
      <c r="B8" s="30"/>
      <c r="C8" s="40"/>
      <c r="D8" s="40"/>
    </row>
    <row r="9" spans="1:4" ht="13.8" thickBot="1" x14ac:dyDescent="0.3">
      <c r="A9" s="37" t="s">
        <v>28</v>
      </c>
      <c r="B9" s="38">
        <f>+C9+D9</f>
        <v>6041</v>
      </c>
      <c r="C9" s="39">
        <f>SUM(C10:C20)</f>
        <v>2615</v>
      </c>
      <c r="D9" s="39">
        <f>SUM(D10:D20)</f>
        <v>3426</v>
      </c>
    </row>
    <row r="10" spans="1:4" x14ac:dyDescent="0.25">
      <c r="A10" s="41" t="s">
        <v>29</v>
      </c>
      <c r="B10" s="42">
        <f>+C10+D10</f>
        <v>217</v>
      </c>
      <c r="C10" s="43">
        <f>+C60+C114</f>
        <v>164</v>
      </c>
      <c r="D10" s="43">
        <f t="shared" ref="D10:D20" si="0">+D60+D114</f>
        <v>53</v>
      </c>
    </row>
    <row r="11" spans="1:4" x14ac:dyDescent="0.25">
      <c r="A11" s="44" t="s">
        <v>30</v>
      </c>
      <c r="B11" s="42">
        <f t="shared" ref="B11:B20" si="1">+C11+D11</f>
        <v>311</v>
      </c>
      <c r="C11" s="43">
        <f t="shared" ref="C11:C20" si="2">+C61+C115</f>
        <v>113</v>
      </c>
      <c r="D11" s="43">
        <f t="shared" si="0"/>
        <v>198</v>
      </c>
    </row>
    <row r="12" spans="1:4" x14ac:dyDescent="0.25">
      <c r="A12" s="41" t="s">
        <v>31</v>
      </c>
      <c r="B12" s="42">
        <f t="shared" si="1"/>
        <v>649</v>
      </c>
      <c r="C12" s="43">
        <f t="shared" si="2"/>
        <v>273</v>
      </c>
      <c r="D12" s="43">
        <f t="shared" si="0"/>
        <v>376</v>
      </c>
    </row>
    <row r="13" spans="1:4" x14ac:dyDescent="0.25">
      <c r="A13" s="44" t="s">
        <v>32</v>
      </c>
      <c r="B13" s="42">
        <f t="shared" si="1"/>
        <v>709</v>
      </c>
      <c r="C13" s="43">
        <f t="shared" si="2"/>
        <v>270</v>
      </c>
      <c r="D13" s="43">
        <f t="shared" si="0"/>
        <v>439</v>
      </c>
    </row>
    <row r="14" spans="1:4" x14ac:dyDescent="0.25">
      <c r="A14" s="44" t="s">
        <v>33</v>
      </c>
      <c r="B14" s="42">
        <f t="shared" si="1"/>
        <v>550</v>
      </c>
      <c r="C14" s="43">
        <f t="shared" si="2"/>
        <v>237</v>
      </c>
      <c r="D14" s="43">
        <f t="shared" si="0"/>
        <v>313</v>
      </c>
    </row>
    <row r="15" spans="1:4" x14ac:dyDescent="0.25">
      <c r="A15" s="44" t="s">
        <v>34</v>
      </c>
      <c r="B15" s="42">
        <f t="shared" si="1"/>
        <v>569</v>
      </c>
      <c r="C15" s="43">
        <f t="shared" si="2"/>
        <v>224</v>
      </c>
      <c r="D15" s="43">
        <f t="shared" si="0"/>
        <v>345</v>
      </c>
    </row>
    <row r="16" spans="1:4" x14ac:dyDescent="0.25">
      <c r="A16" s="44" t="s">
        <v>35</v>
      </c>
      <c r="B16" s="42">
        <f t="shared" si="1"/>
        <v>526</v>
      </c>
      <c r="C16" s="43">
        <f t="shared" si="2"/>
        <v>245</v>
      </c>
      <c r="D16" s="43">
        <f t="shared" si="0"/>
        <v>281</v>
      </c>
    </row>
    <row r="17" spans="1:4" x14ac:dyDescent="0.25">
      <c r="A17" s="44" t="s">
        <v>36</v>
      </c>
      <c r="B17" s="42">
        <f t="shared" si="1"/>
        <v>565</v>
      </c>
      <c r="C17" s="43">
        <f t="shared" si="2"/>
        <v>257</v>
      </c>
      <c r="D17" s="43">
        <f t="shared" si="0"/>
        <v>308</v>
      </c>
    </row>
    <row r="18" spans="1:4" x14ac:dyDescent="0.25">
      <c r="A18" s="44" t="s">
        <v>37</v>
      </c>
      <c r="B18" s="42">
        <f t="shared" si="1"/>
        <v>660</v>
      </c>
      <c r="C18" s="43">
        <f t="shared" si="2"/>
        <v>275</v>
      </c>
      <c r="D18" s="43">
        <f t="shared" si="0"/>
        <v>385</v>
      </c>
    </row>
    <row r="19" spans="1:4" x14ac:dyDescent="0.25">
      <c r="A19" s="44" t="s">
        <v>38</v>
      </c>
      <c r="B19" s="42">
        <f t="shared" si="1"/>
        <v>622</v>
      </c>
      <c r="C19" s="43">
        <f t="shared" si="2"/>
        <v>261</v>
      </c>
      <c r="D19" s="43">
        <f t="shared" si="0"/>
        <v>361</v>
      </c>
    </row>
    <row r="20" spans="1:4" x14ac:dyDescent="0.25">
      <c r="A20" s="44" t="s">
        <v>39</v>
      </c>
      <c r="B20" s="42">
        <f t="shared" si="1"/>
        <v>663</v>
      </c>
      <c r="C20" s="43">
        <f t="shared" si="2"/>
        <v>296</v>
      </c>
      <c r="D20" s="43">
        <f t="shared" si="0"/>
        <v>367</v>
      </c>
    </row>
    <row r="21" spans="1:4" ht="13.8" thickBot="1" x14ac:dyDescent="0.3">
      <c r="A21" s="46"/>
      <c r="B21" s="30"/>
      <c r="C21" s="40"/>
      <c r="D21" s="40"/>
    </row>
    <row r="22" spans="1:4" ht="13.8" thickBot="1" x14ac:dyDescent="0.3">
      <c r="A22" s="37" t="s">
        <v>40</v>
      </c>
      <c r="B22" s="38">
        <f>+C22+D22</f>
        <v>6562</v>
      </c>
      <c r="C22" s="39">
        <f>SUM(C23:C28)</f>
        <v>3011</v>
      </c>
      <c r="D22" s="39">
        <f>SUM(D23:D28)</f>
        <v>3551</v>
      </c>
    </row>
    <row r="23" spans="1:4" x14ac:dyDescent="0.25">
      <c r="A23" s="41" t="s">
        <v>41</v>
      </c>
      <c r="B23" s="42">
        <f t="shared" ref="B23:B28" si="3">+C23+D23</f>
        <v>612</v>
      </c>
      <c r="C23" s="43">
        <f t="shared" ref="C23:D28" si="4">+C73+C127</f>
        <v>268</v>
      </c>
      <c r="D23" s="43">
        <f t="shared" si="4"/>
        <v>344</v>
      </c>
    </row>
    <row r="24" spans="1:4" x14ac:dyDescent="0.25">
      <c r="A24" s="41" t="s">
        <v>42</v>
      </c>
      <c r="B24" s="42">
        <f t="shared" si="3"/>
        <v>616</v>
      </c>
      <c r="C24" s="43">
        <f t="shared" si="4"/>
        <v>236</v>
      </c>
      <c r="D24" s="43">
        <f t="shared" si="4"/>
        <v>380</v>
      </c>
    </row>
    <row r="25" spans="1:4" x14ac:dyDescent="0.25">
      <c r="A25" s="41" t="s">
        <v>43</v>
      </c>
      <c r="B25" s="42">
        <f t="shared" si="3"/>
        <v>595</v>
      </c>
      <c r="C25" s="43">
        <f t="shared" si="4"/>
        <v>273</v>
      </c>
      <c r="D25" s="43">
        <f t="shared" si="4"/>
        <v>322</v>
      </c>
    </row>
    <row r="26" spans="1:4" x14ac:dyDescent="0.25">
      <c r="A26" s="41" t="s">
        <v>44</v>
      </c>
      <c r="B26" s="42">
        <f t="shared" si="3"/>
        <v>602</v>
      </c>
      <c r="C26" s="43">
        <f t="shared" si="4"/>
        <v>295</v>
      </c>
      <c r="D26" s="43">
        <f t="shared" si="4"/>
        <v>307</v>
      </c>
    </row>
    <row r="27" spans="1:4" x14ac:dyDescent="0.25">
      <c r="A27" s="41" t="s">
        <v>45</v>
      </c>
      <c r="B27" s="42">
        <f t="shared" si="3"/>
        <v>615</v>
      </c>
      <c r="C27" s="43">
        <f t="shared" si="4"/>
        <v>265</v>
      </c>
      <c r="D27" s="43">
        <f t="shared" si="4"/>
        <v>350</v>
      </c>
    </row>
    <row r="28" spans="1:4" x14ac:dyDescent="0.25">
      <c r="A28" s="44" t="s">
        <v>46</v>
      </c>
      <c r="B28" s="42">
        <f t="shared" si="3"/>
        <v>3522</v>
      </c>
      <c r="C28" s="43">
        <f t="shared" si="4"/>
        <v>1674</v>
      </c>
      <c r="D28" s="43">
        <f t="shared" si="4"/>
        <v>1848</v>
      </c>
    </row>
    <row r="29" spans="1:4" ht="13.8" thickBot="1" x14ac:dyDescent="0.3">
      <c r="A29" s="47"/>
      <c r="B29" s="30"/>
      <c r="C29" s="40"/>
      <c r="D29" s="40"/>
    </row>
    <row r="30" spans="1:4" ht="13.8" thickBot="1" x14ac:dyDescent="0.3">
      <c r="A30" s="37" t="s">
        <v>47</v>
      </c>
      <c r="B30" s="38">
        <f>+C30+D30</f>
        <v>40504</v>
      </c>
      <c r="C30" s="39">
        <f>SUM(C31:C43)</f>
        <v>18720</v>
      </c>
      <c r="D30" s="39">
        <f>SUM(D31:D43)</f>
        <v>21784</v>
      </c>
    </row>
    <row r="31" spans="1:4" x14ac:dyDescent="0.25">
      <c r="A31" s="48" t="s">
        <v>21</v>
      </c>
      <c r="B31" s="42">
        <f t="shared" ref="B31:B43" si="5">+C31+D31</f>
        <v>3690</v>
      </c>
      <c r="C31" s="43">
        <f t="shared" ref="C31:D43" si="6">+C81+C135</f>
        <v>1708</v>
      </c>
      <c r="D31" s="43">
        <f t="shared" si="6"/>
        <v>1982</v>
      </c>
    </row>
    <row r="32" spans="1:4" x14ac:dyDescent="0.25">
      <c r="A32" s="48" t="s">
        <v>48</v>
      </c>
      <c r="B32" s="42">
        <f t="shared" si="5"/>
        <v>3687</v>
      </c>
      <c r="C32" s="43">
        <f t="shared" si="6"/>
        <v>1685</v>
      </c>
      <c r="D32" s="43">
        <f t="shared" si="6"/>
        <v>2002</v>
      </c>
    </row>
    <row r="33" spans="1:4" x14ac:dyDescent="0.25">
      <c r="A33" s="48" t="s">
        <v>49</v>
      </c>
      <c r="B33" s="42">
        <f t="shared" si="5"/>
        <v>3129</v>
      </c>
      <c r="C33" s="43">
        <f t="shared" si="6"/>
        <v>1385</v>
      </c>
      <c r="D33" s="43">
        <f t="shared" si="6"/>
        <v>1744</v>
      </c>
    </row>
    <row r="34" spans="1:4" x14ac:dyDescent="0.25">
      <c r="A34" s="48" t="s">
        <v>50</v>
      </c>
      <c r="B34" s="42">
        <f t="shared" si="5"/>
        <v>2931</v>
      </c>
      <c r="C34" s="43">
        <f t="shared" si="6"/>
        <v>1331</v>
      </c>
      <c r="D34" s="43">
        <f t="shared" si="6"/>
        <v>1600</v>
      </c>
    </row>
    <row r="35" spans="1:4" x14ac:dyDescent="0.25">
      <c r="A35" s="48" t="s">
        <v>51</v>
      </c>
      <c r="B35" s="42">
        <f t="shared" si="5"/>
        <v>3047</v>
      </c>
      <c r="C35" s="43">
        <f t="shared" si="6"/>
        <v>1424</v>
      </c>
      <c r="D35" s="43">
        <f t="shared" si="6"/>
        <v>1623</v>
      </c>
    </row>
    <row r="36" spans="1:4" x14ac:dyDescent="0.25">
      <c r="A36" s="48" t="s">
        <v>52</v>
      </c>
      <c r="B36" s="42">
        <f t="shared" si="5"/>
        <v>3131</v>
      </c>
      <c r="C36" s="43">
        <f t="shared" si="6"/>
        <v>1470</v>
      </c>
      <c r="D36" s="43">
        <f t="shared" si="6"/>
        <v>1661</v>
      </c>
    </row>
    <row r="37" spans="1:4" x14ac:dyDescent="0.25">
      <c r="A37" s="48" t="s">
        <v>53</v>
      </c>
      <c r="B37" s="42">
        <f t="shared" si="5"/>
        <v>3441</v>
      </c>
      <c r="C37" s="43">
        <f t="shared" si="6"/>
        <v>1588</v>
      </c>
      <c r="D37" s="43">
        <f t="shared" si="6"/>
        <v>1853</v>
      </c>
    </row>
    <row r="38" spans="1:4" x14ac:dyDescent="0.25">
      <c r="A38" s="48" t="s">
        <v>54</v>
      </c>
      <c r="B38" s="42">
        <f t="shared" si="5"/>
        <v>3564</v>
      </c>
      <c r="C38" s="43">
        <f t="shared" si="6"/>
        <v>1602</v>
      </c>
      <c r="D38" s="43">
        <f t="shared" si="6"/>
        <v>1962</v>
      </c>
    </row>
    <row r="39" spans="1:4" x14ac:dyDescent="0.25">
      <c r="A39" s="48" t="s">
        <v>55</v>
      </c>
      <c r="B39" s="42">
        <f t="shared" si="5"/>
        <v>2970</v>
      </c>
      <c r="C39" s="43">
        <f t="shared" si="6"/>
        <v>1296</v>
      </c>
      <c r="D39" s="43">
        <f t="shared" si="6"/>
        <v>1674</v>
      </c>
    </row>
    <row r="40" spans="1:4" x14ac:dyDescent="0.25">
      <c r="A40" s="49" t="s">
        <v>56</v>
      </c>
      <c r="B40" s="42">
        <f t="shared" si="5"/>
        <v>2816</v>
      </c>
      <c r="C40" s="43">
        <f t="shared" si="6"/>
        <v>1313</v>
      </c>
      <c r="D40" s="43">
        <f t="shared" si="6"/>
        <v>1503</v>
      </c>
    </row>
    <row r="41" spans="1:4" x14ac:dyDescent="0.25">
      <c r="A41" s="48" t="s">
        <v>57</v>
      </c>
      <c r="B41" s="42">
        <f t="shared" si="5"/>
        <v>2485</v>
      </c>
      <c r="C41" s="43">
        <f t="shared" si="6"/>
        <v>1204</v>
      </c>
      <c r="D41" s="43">
        <f t="shared" si="6"/>
        <v>1281</v>
      </c>
    </row>
    <row r="42" spans="1:4" x14ac:dyDescent="0.25">
      <c r="A42" s="48" t="s">
        <v>58</v>
      </c>
      <c r="B42" s="42">
        <f t="shared" si="5"/>
        <v>2006</v>
      </c>
      <c r="C42" s="43">
        <f t="shared" si="6"/>
        <v>919</v>
      </c>
      <c r="D42" s="43">
        <f t="shared" si="6"/>
        <v>1087</v>
      </c>
    </row>
    <row r="43" spans="1:4" x14ac:dyDescent="0.25">
      <c r="A43" s="48" t="s">
        <v>59</v>
      </c>
      <c r="B43" s="42">
        <f t="shared" si="5"/>
        <v>3607</v>
      </c>
      <c r="C43" s="43">
        <f t="shared" si="6"/>
        <v>1795</v>
      </c>
      <c r="D43" s="43">
        <f t="shared" si="6"/>
        <v>1812</v>
      </c>
    </row>
    <row r="44" spans="1:4" x14ac:dyDescent="0.25">
      <c r="A44" s="50"/>
      <c r="B44" s="51"/>
      <c r="C44" s="51"/>
      <c r="D44" s="51"/>
    </row>
    <row r="45" spans="1:4" x14ac:dyDescent="0.25">
      <c r="A45" s="30"/>
      <c r="B45" s="30"/>
      <c r="C45" s="40"/>
      <c r="D45" s="40"/>
    </row>
    <row r="46" spans="1:4" x14ac:dyDescent="0.25">
      <c r="A46" s="30"/>
      <c r="B46" s="30"/>
      <c r="C46" s="40"/>
      <c r="D46" s="40"/>
    </row>
    <row r="47" spans="1:4" x14ac:dyDescent="0.25">
      <c r="A47" s="30"/>
      <c r="B47" s="30"/>
      <c r="C47" s="40"/>
      <c r="D47" s="40"/>
    </row>
    <row r="48" spans="1:4" x14ac:dyDescent="0.25">
      <c r="A48" s="30"/>
      <c r="B48" s="30"/>
      <c r="C48" s="40"/>
      <c r="D48" s="40"/>
    </row>
    <row r="49" spans="1:4" x14ac:dyDescent="0.25">
      <c r="A49" s="30"/>
      <c r="B49" s="30"/>
      <c r="C49" s="40"/>
      <c r="D49" s="40"/>
    </row>
    <row r="50" spans="1:4" x14ac:dyDescent="0.25">
      <c r="A50" s="30"/>
      <c r="B50" s="30"/>
      <c r="C50" s="40"/>
      <c r="D50" s="40"/>
    </row>
    <row r="51" spans="1:4" x14ac:dyDescent="0.25">
      <c r="A51" s="30"/>
      <c r="B51" s="30"/>
      <c r="C51" s="40"/>
      <c r="D51" s="40"/>
    </row>
    <row r="52" spans="1:4" x14ac:dyDescent="0.25">
      <c r="A52" s="30"/>
      <c r="B52" s="30"/>
      <c r="C52" s="40"/>
      <c r="D52" s="40"/>
    </row>
    <row r="53" spans="1:4" x14ac:dyDescent="0.25">
      <c r="A53" s="30"/>
      <c r="B53" s="30"/>
      <c r="C53" s="40"/>
      <c r="D53" s="40"/>
    </row>
    <row r="54" spans="1:4" ht="17.399999999999999" x14ac:dyDescent="0.3">
      <c r="A54" s="83" t="s">
        <v>75</v>
      </c>
      <c r="B54" s="84"/>
      <c r="C54" s="84"/>
      <c r="D54" s="84"/>
    </row>
    <row r="55" spans="1:4" ht="13.8" thickBot="1" x14ac:dyDescent="0.3">
      <c r="A55" s="52"/>
      <c r="B55" s="30"/>
      <c r="C55" s="40"/>
      <c r="D55" s="40"/>
    </row>
    <row r="56" spans="1:4" ht="13.8" thickBot="1" x14ac:dyDescent="0.3">
      <c r="A56" s="37" t="s">
        <v>61</v>
      </c>
      <c r="B56" s="38">
        <f>+C56+D56</f>
        <v>29722</v>
      </c>
      <c r="C56" s="39">
        <f>+C59+C72+C80</f>
        <v>13282</v>
      </c>
      <c r="D56" s="39">
        <f>+D59+D72+D80</f>
        <v>16440</v>
      </c>
    </row>
    <row r="57" spans="1:4" x14ac:dyDescent="0.25">
      <c r="A57" s="53"/>
      <c r="B57" s="30"/>
      <c r="C57" s="40"/>
      <c r="D57" s="40"/>
    </row>
    <row r="58" spans="1:4" ht="13.8" thickBot="1" x14ac:dyDescent="0.3">
      <c r="A58" s="30"/>
      <c r="B58" s="30"/>
      <c r="C58" s="40"/>
      <c r="D58" s="40"/>
    </row>
    <row r="59" spans="1:4" ht="13.8" thickBot="1" x14ac:dyDescent="0.3">
      <c r="A59" s="37" t="s">
        <v>28</v>
      </c>
      <c r="B59" s="38">
        <f>+C59+D59</f>
        <v>3030</v>
      </c>
      <c r="C59" s="39">
        <f>SUM(C60:C70)</f>
        <v>1348</v>
      </c>
      <c r="D59" s="39">
        <f>SUM(D60:D70)</f>
        <v>1682</v>
      </c>
    </row>
    <row r="60" spans="1:4" x14ac:dyDescent="0.25">
      <c r="A60" s="44" t="s">
        <v>62</v>
      </c>
      <c r="B60" s="42">
        <f>+C60+D60</f>
        <v>213</v>
      </c>
      <c r="C60" s="43">
        <v>163</v>
      </c>
      <c r="D60" s="43">
        <v>50</v>
      </c>
    </row>
    <row r="61" spans="1:4" x14ac:dyDescent="0.25">
      <c r="A61" s="44" t="s">
        <v>30</v>
      </c>
      <c r="B61" s="42">
        <f t="shared" ref="B61:B70" si="7">+C61+D61</f>
        <v>127</v>
      </c>
      <c r="C61" s="45">
        <v>43</v>
      </c>
      <c r="D61" s="45">
        <v>84</v>
      </c>
    </row>
    <row r="62" spans="1:4" x14ac:dyDescent="0.25">
      <c r="A62" s="41" t="s">
        <v>31</v>
      </c>
      <c r="B62" s="42">
        <f t="shared" si="7"/>
        <v>294</v>
      </c>
      <c r="C62" s="45">
        <v>127</v>
      </c>
      <c r="D62" s="45">
        <v>167</v>
      </c>
    </row>
    <row r="63" spans="1:4" x14ac:dyDescent="0.25">
      <c r="A63" s="44" t="s">
        <v>32</v>
      </c>
      <c r="B63" s="42">
        <f t="shared" si="7"/>
        <v>353</v>
      </c>
      <c r="C63" s="45">
        <v>145</v>
      </c>
      <c r="D63" s="45">
        <v>208</v>
      </c>
    </row>
    <row r="64" spans="1:4" x14ac:dyDescent="0.25">
      <c r="A64" s="44" t="s">
        <v>33</v>
      </c>
      <c r="B64" s="42">
        <f t="shared" si="7"/>
        <v>279</v>
      </c>
      <c r="C64" s="45">
        <v>120</v>
      </c>
      <c r="D64" s="45">
        <v>159</v>
      </c>
    </row>
    <row r="65" spans="1:4" x14ac:dyDescent="0.25">
      <c r="A65" s="44" t="s">
        <v>34</v>
      </c>
      <c r="B65" s="42">
        <f t="shared" si="7"/>
        <v>272</v>
      </c>
      <c r="C65" s="45">
        <v>112</v>
      </c>
      <c r="D65" s="45">
        <v>160</v>
      </c>
    </row>
    <row r="66" spans="1:4" x14ac:dyDescent="0.25">
      <c r="A66" s="44" t="s">
        <v>35</v>
      </c>
      <c r="B66" s="42">
        <f t="shared" si="7"/>
        <v>262</v>
      </c>
      <c r="C66" s="45">
        <v>111</v>
      </c>
      <c r="D66" s="45">
        <v>151</v>
      </c>
    </row>
    <row r="67" spans="1:4" x14ac:dyDescent="0.25">
      <c r="A67" s="44" t="s">
        <v>36</v>
      </c>
      <c r="B67" s="42">
        <f t="shared" si="7"/>
        <v>266</v>
      </c>
      <c r="C67" s="45">
        <v>113</v>
      </c>
      <c r="D67" s="45">
        <v>153</v>
      </c>
    </row>
    <row r="68" spans="1:4" x14ac:dyDescent="0.25">
      <c r="A68" s="44" t="s">
        <v>37</v>
      </c>
      <c r="B68" s="42">
        <f t="shared" si="7"/>
        <v>324</v>
      </c>
      <c r="C68" s="45">
        <v>136</v>
      </c>
      <c r="D68" s="45">
        <v>188</v>
      </c>
    </row>
    <row r="69" spans="1:4" x14ac:dyDescent="0.25">
      <c r="A69" s="44" t="s">
        <v>38</v>
      </c>
      <c r="B69" s="42">
        <f t="shared" si="7"/>
        <v>299</v>
      </c>
      <c r="C69" s="45">
        <v>126</v>
      </c>
      <c r="D69" s="45">
        <v>173</v>
      </c>
    </row>
    <row r="70" spans="1:4" x14ac:dyDescent="0.25">
      <c r="A70" s="44" t="s">
        <v>39</v>
      </c>
      <c r="B70" s="42">
        <f t="shared" si="7"/>
        <v>341</v>
      </c>
      <c r="C70" s="45">
        <v>152</v>
      </c>
      <c r="D70" s="45">
        <v>189</v>
      </c>
    </row>
    <row r="71" spans="1:4" ht="13.8" thickBot="1" x14ac:dyDescent="0.3">
      <c r="A71" s="46"/>
      <c r="B71" s="30"/>
      <c r="C71" s="40"/>
      <c r="D71" s="40"/>
    </row>
    <row r="72" spans="1:4" ht="13.8" thickBot="1" x14ac:dyDescent="0.3">
      <c r="A72" s="37" t="s">
        <v>40</v>
      </c>
      <c r="B72" s="38">
        <f>+C72+D72</f>
        <v>3270</v>
      </c>
      <c r="C72" s="39">
        <f>SUM(C73:C78)</f>
        <v>1474</v>
      </c>
      <c r="D72" s="39">
        <f>SUM(D73:D78)</f>
        <v>1796</v>
      </c>
    </row>
    <row r="73" spans="1:4" x14ac:dyDescent="0.25">
      <c r="A73" s="41" t="s">
        <v>41</v>
      </c>
      <c r="B73" s="42">
        <f t="shared" ref="B73:B78" si="8">+C73+D73</f>
        <v>331</v>
      </c>
      <c r="C73" s="43">
        <v>128</v>
      </c>
      <c r="D73" s="43">
        <v>203</v>
      </c>
    </row>
    <row r="74" spans="1:4" x14ac:dyDescent="0.25">
      <c r="A74" s="41" t="s">
        <v>42</v>
      </c>
      <c r="B74" s="42">
        <f t="shared" si="8"/>
        <v>301</v>
      </c>
      <c r="C74" s="45">
        <v>111</v>
      </c>
      <c r="D74" s="45">
        <v>190</v>
      </c>
    </row>
    <row r="75" spans="1:4" x14ac:dyDescent="0.25">
      <c r="A75" s="41" t="s">
        <v>43</v>
      </c>
      <c r="B75" s="42">
        <f t="shared" si="8"/>
        <v>289</v>
      </c>
      <c r="C75" s="45">
        <v>115</v>
      </c>
      <c r="D75" s="45">
        <v>174</v>
      </c>
    </row>
    <row r="76" spans="1:4" x14ac:dyDescent="0.25">
      <c r="A76" s="41" t="s">
        <v>44</v>
      </c>
      <c r="B76" s="42">
        <f t="shared" si="8"/>
        <v>300</v>
      </c>
      <c r="C76" s="45">
        <v>144</v>
      </c>
      <c r="D76" s="45">
        <v>156</v>
      </c>
    </row>
    <row r="77" spans="1:4" x14ac:dyDescent="0.25">
      <c r="A77" s="41" t="s">
        <v>45</v>
      </c>
      <c r="B77" s="42">
        <f t="shared" si="8"/>
        <v>314</v>
      </c>
      <c r="C77" s="45">
        <v>141</v>
      </c>
      <c r="D77" s="45">
        <v>173</v>
      </c>
    </row>
    <row r="78" spans="1:4" x14ac:dyDescent="0.25">
      <c r="A78" s="44" t="s">
        <v>46</v>
      </c>
      <c r="B78" s="42">
        <f t="shared" si="8"/>
        <v>1735</v>
      </c>
      <c r="C78" s="45">
        <v>835</v>
      </c>
      <c r="D78" s="45">
        <v>900</v>
      </c>
    </row>
    <row r="79" spans="1:4" ht="13.8" thickBot="1" x14ac:dyDescent="0.3">
      <c r="A79" s="47"/>
      <c r="B79" s="30"/>
      <c r="C79" s="40"/>
      <c r="D79" s="40"/>
    </row>
    <row r="80" spans="1:4" ht="13.8" thickBot="1" x14ac:dyDescent="0.3">
      <c r="A80" s="37" t="s">
        <v>47</v>
      </c>
      <c r="B80" s="38">
        <f>+C80+D80</f>
        <v>23422</v>
      </c>
      <c r="C80" s="39">
        <f>SUM(C81:C93)</f>
        <v>10460</v>
      </c>
      <c r="D80" s="39">
        <f>SUM(D81:D93)</f>
        <v>12962</v>
      </c>
    </row>
    <row r="81" spans="1:4" x14ac:dyDescent="0.25">
      <c r="A81" s="48" t="s">
        <v>21</v>
      </c>
      <c r="B81" s="42">
        <f t="shared" ref="B81:B93" si="9">+C81+D81</f>
        <v>1939</v>
      </c>
      <c r="C81" s="43">
        <v>843</v>
      </c>
      <c r="D81" s="43">
        <v>1096</v>
      </c>
    </row>
    <row r="82" spans="1:4" x14ac:dyDescent="0.25">
      <c r="A82" s="48" t="s">
        <v>48</v>
      </c>
      <c r="B82" s="42">
        <f t="shared" si="9"/>
        <v>2069</v>
      </c>
      <c r="C82" s="45">
        <v>915</v>
      </c>
      <c r="D82" s="45">
        <v>1154</v>
      </c>
    </row>
    <row r="83" spans="1:4" x14ac:dyDescent="0.25">
      <c r="A83" s="48" t="s">
        <v>49</v>
      </c>
      <c r="B83" s="42">
        <f t="shared" si="9"/>
        <v>1853</v>
      </c>
      <c r="C83" s="45">
        <v>774</v>
      </c>
      <c r="D83" s="45">
        <v>1079</v>
      </c>
    </row>
    <row r="84" spans="1:4" x14ac:dyDescent="0.25">
      <c r="A84" s="48" t="s">
        <v>50</v>
      </c>
      <c r="B84" s="42">
        <f t="shared" si="9"/>
        <v>1728</v>
      </c>
      <c r="C84" s="45">
        <v>788</v>
      </c>
      <c r="D84" s="45">
        <v>940</v>
      </c>
    </row>
    <row r="85" spans="1:4" x14ac:dyDescent="0.25">
      <c r="A85" s="48" t="s">
        <v>51</v>
      </c>
      <c r="B85" s="42">
        <f t="shared" si="9"/>
        <v>1767</v>
      </c>
      <c r="C85" s="45">
        <v>814</v>
      </c>
      <c r="D85" s="45">
        <v>953</v>
      </c>
    </row>
    <row r="86" spans="1:4" x14ac:dyDescent="0.25">
      <c r="A86" s="48" t="s">
        <v>52</v>
      </c>
      <c r="B86" s="42">
        <f t="shared" si="9"/>
        <v>1828</v>
      </c>
      <c r="C86" s="45">
        <v>844</v>
      </c>
      <c r="D86" s="45">
        <v>984</v>
      </c>
    </row>
    <row r="87" spans="1:4" x14ac:dyDescent="0.25">
      <c r="A87" s="48" t="s">
        <v>53</v>
      </c>
      <c r="B87" s="42">
        <f t="shared" si="9"/>
        <v>1939</v>
      </c>
      <c r="C87" s="45">
        <v>888</v>
      </c>
      <c r="D87" s="45">
        <v>1051</v>
      </c>
    </row>
    <row r="88" spans="1:4" x14ac:dyDescent="0.25">
      <c r="A88" s="48" t="s">
        <v>54</v>
      </c>
      <c r="B88" s="42">
        <f t="shared" si="9"/>
        <v>2047</v>
      </c>
      <c r="C88" s="45">
        <v>912</v>
      </c>
      <c r="D88" s="45">
        <v>1135</v>
      </c>
    </row>
    <row r="89" spans="1:4" x14ac:dyDescent="0.25">
      <c r="A89" s="48" t="s">
        <v>55</v>
      </c>
      <c r="B89" s="42">
        <f t="shared" si="9"/>
        <v>1728</v>
      </c>
      <c r="C89" s="45">
        <v>730</v>
      </c>
      <c r="D89" s="45">
        <v>998</v>
      </c>
    </row>
    <row r="90" spans="1:4" x14ac:dyDescent="0.25">
      <c r="A90" s="49" t="s">
        <v>56</v>
      </c>
      <c r="B90" s="42">
        <f t="shared" si="9"/>
        <v>1623</v>
      </c>
      <c r="C90" s="45">
        <v>738</v>
      </c>
      <c r="D90" s="45">
        <v>885</v>
      </c>
    </row>
    <row r="91" spans="1:4" x14ac:dyDescent="0.25">
      <c r="A91" s="48" t="s">
        <v>57</v>
      </c>
      <c r="B91" s="42">
        <f t="shared" si="9"/>
        <v>1430</v>
      </c>
      <c r="C91" s="45">
        <v>653</v>
      </c>
      <c r="D91" s="45">
        <v>777</v>
      </c>
    </row>
    <row r="92" spans="1:4" x14ac:dyDescent="0.25">
      <c r="A92" s="48" t="s">
        <v>58</v>
      </c>
      <c r="B92" s="42">
        <f t="shared" si="9"/>
        <v>1243</v>
      </c>
      <c r="C92" s="45">
        <v>550</v>
      </c>
      <c r="D92" s="45">
        <v>693</v>
      </c>
    </row>
    <row r="93" spans="1:4" x14ac:dyDescent="0.25">
      <c r="A93" s="48" t="s">
        <v>59</v>
      </c>
      <c r="B93" s="42">
        <f t="shared" si="9"/>
        <v>2228</v>
      </c>
      <c r="C93" s="45">
        <v>1011</v>
      </c>
      <c r="D93" s="45">
        <v>1217</v>
      </c>
    </row>
    <row r="108" spans="1:4" ht="17.399999999999999" x14ac:dyDescent="0.3">
      <c r="A108" s="83" t="s">
        <v>76</v>
      </c>
      <c r="B108" s="84"/>
      <c r="C108" s="84"/>
      <c r="D108" s="84"/>
    </row>
    <row r="109" spans="1:4" ht="13.8" thickBot="1" x14ac:dyDescent="0.3">
      <c r="A109" s="52"/>
      <c r="B109" s="30"/>
      <c r="C109" s="40"/>
      <c r="D109" s="40"/>
    </row>
    <row r="110" spans="1:4" ht="13.8" thickBot="1" x14ac:dyDescent="0.3">
      <c r="A110" s="37" t="s">
        <v>64</v>
      </c>
      <c r="B110" s="38">
        <f>+C110+D110</f>
        <v>23385</v>
      </c>
      <c r="C110" s="39">
        <f>+C113+C126+C134</f>
        <v>11064</v>
      </c>
      <c r="D110" s="39">
        <f>+D113+D126+D134</f>
        <v>12321</v>
      </c>
    </row>
    <row r="111" spans="1:4" x14ac:dyDescent="0.25">
      <c r="A111" s="53"/>
      <c r="B111" s="30"/>
      <c r="C111" s="40"/>
      <c r="D111" s="40"/>
    </row>
    <row r="112" spans="1:4" ht="13.8" thickBot="1" x14ac:dyDescent="0.3">
      <c r="A112" s="30"/>
      <c r="B112" s="30"/>
      <c r="C112" s="40"/>
      <c r="D112" s="40"/>
    </row>
    <row r="113" spans="1:4" ht="13.8" thickBot="1" x14ac:dyDescent="0.3">
      <c r="A113" s="37" t="s">
        <v>28</v>
      </c>
      <c r="B113" s="38">
        <f>+C113+D113</f>
        <v>3011</v>
      </c>
      <c r="C113" s="39">
        <f>SUM(C114:C124)</f>
        <v>1267</v>
      </c>
      <c r="D113" s="39">
        <f>SUM(D114:D124)</f>
        <v>1744</v>
      </c>
    </row>
    <row r="114" spans="1:4" x14ac:dyDescent="0.25">
      <c r="A114" s="44" t="s">
        <v>62</v>
      </c>
      <c r="B114" s="42">
        <f>+C114+D114</f>
        <v>4</v>
      </c>
      <c r="C114" s="43">
        <v>1</v>
      </c>
      <c r="D114" s="43">
        <v>3</v>
      </c>
    </row>
    <row r="115" spans="1:4" x14ac:dyDescent="0.25">
      <c r="A115" s="44" t="s">
        <v>30</v>
      </c>
      <c r="B115" s="42">
        <f t="shared" ref="B115:B124" si="10">+C115+D115</f>
        <v>184</v>
      </c>
      <c r="C115" s="45">
        <v>70</v>
      </c>
      <c r="D115" s="45">
        <v>114</v>
      </c>
    </row>
    <row r="116" spans="1:4" x14ac:dyDescent="0.25">
      <c r="A116" s="41" t="s">
        <v>31</v>
      </c>
      <c r="B116" s="42">
        <f t="shared" si="10"/>
        <v>355</v>
      </c>
      <c r="C116" s="45">
        <v>146</v>
      </c>
      <c r="D116" s="45">
        <v>209</v>
      </c>
    </row>
    <row r="117" spans="1:4" x14ac:dyDescent="0.25">
      <c r="A117" s="44" t="s">
        <v>32</v>
      </c>
      <c r="B117" s="42">
        <f t="shared" si="10"/>
        <v>356</v>
      </c>
      <c r="C117" s="45">
        <v>125</v>
      </c>
      <c r="D117" s="45">
        <v>231</v>
      </c>
    </row>
    <row r="118" spans="1:4" x14ac:dyDescent="0.25">
      <c r="A118" s="44" t="s">
        <v>33</v>
      </c>
      <c r="B118" s="42">
        <f t="shared" si="10"/>
        <v>271</v>
      </c>
      <c r="C118" s="45">
        <v>117</v>
      </c>
      <c r="D118" s="45">
        <v>154</v>
      </c>
    </row>
    <row r="119" spans="1:4" x14ac:dyDescent="0.25">
      <c r="A119" s="44" t="s">
        <v>34</v>
      </c>
      <c r="B119" s="42">
        <f t="shared" si="10"/>
        <v>297</v>
      </c>
      <c r="C119" s="45">
        <v>112</v>
      </c>
      <c r="D119" s="45">
        <v>185</v>
      </c>
    </row>
    <row r="120" spans="1:4" x14ac:dyDescent="0.25">
      <c r="A120" s="44" t="s">
        <v>35</v>
      </c>
      <c r="B120" s="42">
        <f t="shared" si="10"/>
        <v>264</v>
      </c>
      <c r="C120" s="45">
        <v>134</v>
      </c>
      <c r="D120" s="45">
        <v>130</v>
      </c>
    </row>
    <row r="121" spans="1:4" x14ac:dyDescent="0.25">
      <c r="A121" s="44" t="s">
        <v>36</v>
      </c>
      <c r="B121" s="42">
        <f t="shared" si="10"/>
        <v>299</v>
      </c>
      <c r="C121" s="45">
        <v>144</v>
      </c>
      <c r="D121" s="45">
        <v>155</v>
      </c>
    </row>
    <row r="122" spans="1:4" x14ac:dyDescent="0.25">
      <c r="A122" s="44" t="s">
        <v>37</v>
      </c>
      <c r="B122" s="42">
        <f t="shared" si="10"/>
        <v>336</v>
      </c>
      <c r="C122" s="45">
        <v>139</v>
      </c>
      <c r="D122" s="45">
        <v>197</v>
      </c>
    </row>
    <row r="123" spans="1:4" x14ac:dyDescent="0.25">
      <c r="A123" s="44" t="s">
        <v>38</v>
      </c>
      <c r="B123" s="42">
        <f t="shared" si="10"/>
        <v>323</v>
      </c>
      <c r="C123" s="45">
        <v>135</v>
      </c>
      <c r="D123" s="45">
        <v>188</v>
      </c>
    </row>
    <row r="124" spans="1:4" x14ac:dyDescent="0.25">
      <c r="A124" s="44" t="s">
        <v>39</v>
      </c>
      <c r="B124" s="42">
        <f t="shared" si="10"/>
        <v>322</v>
      </c>
      <c r="C124" s="45">
        <v>144</v>
      </c>
      <c r="D124" s="45">
        <v>178</v>
      </c>
    </row>
    <row r="125" spans="1:4" ht="13.8" thickBot="1" x14ac:dyDescent="0.3">
      <c r="A125" s="46"/>
      <c r="B125" s="30"/>
      <c r="C125" s="40"/>
      <c r="D125" s="40"/>
    </row>
    <row r="126" spans="1:4" ht="13.8" thickBot="1" x14ac:dyDescent="0.3">
      <c r="A126" s="37" t="s">
        <v>40</v>
      </c>
      <c r="B126" s="38">
        <f>+C126+D126</f>
        <v>3292</v>
      </c>
      <c r="C126" s="39">
        <f>SUM(C127:C132)</f>
        <v>1537</v>
      </c>
      <c r="D126" s="39">
        <f>SUM(D127:D132)</f>
        <v>1755</v>
      </c>
    </row>
    <row r="127" spans="1:4" x14ac:dyDescent="0.25">
      <c r="A127" s="41" t="s">
        <v>41</v>
      </c>
      <c r="B127" s="42">
        <f t="shared" ref="B127:B132" si="11">+C127+D127</f>
        <v>281</v>
      </c>
      <c r="C127" s="43">
        <v>140</v>
      </c>
      <c r="D127" s="43">
        <v>141</v>
      </c>
    </row>
    <row r="128" spans="1:4" x14ac:dyDescent="0.25">
      <c r="A128" s="41" t="s">
        <v>42</v>
      </c>
      <c r="B128" s="42">
        <f t="shared" si="11"/>
        <v>315</v>
      </c>
      <c r="C128" s="45">
        <v>125</v>
      </c>
      <c r="D128" s="45">
        <v>190</v>
      </c>
    </row>
    <row r="129" spans="1:4" x14ac:dyDescent="0.25">
      <c r="A129" s="41" t="s">
        <v>43</v>
      </c>
      <c r="B129" s="42">
        <f t="shared" si="11"/>
        <v>306</v>
      </c>
      <c r="C129" s="45">
        <v>158</v>
      </c>
      <c r="D129" s="45">
        <v>148</v>
      </c>
    </row>
    <row r="130" spans="1:4" x14ac:dyDescent="0.25">
      <c r="A130" s="41" t="s">
        <v>44</v>
      </c>
      <c r="B130" s="42">
        <f t="shared" si="11"/>
        <v>302</v>
      </c>
      <c r="C130" s="45">
        <v>151</v>
      </c>
      <c r="D130" s="45">
        <v>151</v>
      </c>
    </row>
    <row r="131" spans="1:4" x14ac:dyDescent="0.25">
      <c r="A131" s="41" t="s">
        <v>45</v>
      </c>
      <c r="B131" s="42">
        <f t="shared" si="11"/>
        <v>301</v>
      </c>
      <c r="C131" s="45">
        <v>124</v>
      </c>
      <c r="D131" s="45">
        <v>177</v>
      </c>
    </row>
    <row r="132" spans="1:4" x14ac:dyDescent="0.25">
      <c r="A132" s="44" t="s">
        <v>46</v>
      </c>
      <c r="B132" s="42">
        <f t="shared" si="11"/>
        <v>1787</v>
      </c>
      <c r="C132" s="45">
        <v>839</v>
      </c>
      <c r="D132" s="45">
        <v>948</v>
      </c>
    </row>
    <row r="133" spans="1:4" ht="13.8" thickBot="1" x14ac:dyDescent="0.3">
      <c r="A133" s="47"/>
      <c r="B133" s="30"/>
      <c r="C133" s="40"/>
      <c r="D133" s="40"/>
    </row>
    <row r="134" spans="1:4" ht="13.8" thickBot="1" x14ac:dyDescent="0.3">
      <c r="A134" s="37" t="s">
        <v>47</v>
      </c>
      <c r="B134" s="38">
        <f>+C134+D134</f>
        <v>17082</v>
      </c>
      <c r="C134" s="39">
        <f>SUM(C135:C147)</f>
        <v>8260</v>
      </c>
      <c r="D134" s="39">
        <f>SUM(D135:D147)</f>
        <v>8822</v>
      </c>
    </row>
    <row r="135" spans="1:4" x14ac:dyDescent="0.25">
      <c r="A135" s="48" t="s">
        <v>21</v>
      </c>
      <c r="B135" s="42">
        <f t="shared" ref="B135:B147" si="12">+C135+D135</f>
        <v>1751</v>
      </c>
      <c r="C135" s="43">
        <v>865</v>
      </c>
      <c r="D135" s="43">
        <v>886</v>
      </c>
    </row>
    <row r="136" spans="1:4" x14ac:dyDescent="0.25">
      <c r="A136" s="48" t="s">
        <v>48</v>
      </c>
      <c r="B136" s="42">
        <f t="shared" si="12"/>
        <v>1618</v>
      </c>
      <c r="C136" s="45">
        <v>770</v>
      </c>
      <c r="D136" s="45">
        <v>848</v>
      </c>
    </row>
    <row r="137" spans="1:4" x14ac:dyDescent="0.25">
      <c r="A137" s="48" t="s">
        <v>49</v>
      </c>
      <c r="B137" s="42">
        <f t="shared" si="12"/>
        <v>1276</v>
      </c>
      <c r="C137" s="45">
        <v>611</v>
      </c>
      <c r="D137" s="45">
        <v>665</v>
      </c>
    </row>
    <row r="138" spans="1:4" x14ac:dyDescent="0.25">
      <c r="A138" s="48" t="s">
        <v>50</v>
      </c>
      <c r="B138" s="42">
        <f t="shared" si="12"/>
        <v>1203</v>
      </c>
      <c r="C138" s="45">
        <v>543</v>
      </c>
      <c r="D138" s="45">
        <v>660</v>
      </c>
    </row>
    <row r="139" spans="1:4" x14ac:dyDescent="0.25">
      <c r="A139" s="48" t="s">
        <v>51</v>
      </c>
      <c r="B139" s="42">
        <f t="shared" si="12"/>
        <v>1280</v>
      </c>
      <c r="C139" s="45">
        <v>610</v>
      </c>
      <c r="D139" s="45">
        <v>670</v>
      </c>
    </row>
    <row r="140" spans="1:4" x14ac:dyDescent="0.25">
      <c r="A140" s="48" t="s">
        <v>52</v>
      </c>
      <c r="B140" s="42">
        <f t="shared" si="12"/>
        <v>1303</v>
      </c>
      <c r="C140" s="45">
        <v>626</v>
      </c>
      <c r="D140" s="45">
        <v>677</v>
      </c>
    </row>
    <row r="141" spans="1:4" x14ac:dyDescent="0.25">
      <c r="A141" s="48" t="s">
        <v>53</v>
      </c>
      <c r="B141" s="42">
        <f t="shared" si="12"/>
        <v>1502</v>
      </c>
      <c r="C141" s="45">
        <v>700</v>
      </c>
      <c r="D141" s="45">
        <v>802</v>
      </c>
    </row>
    <row r="142" spans="1:4" x14ac:dyDescent="0.25">
      <c r="A142" s="48" t="s">
        <v>54</v>
      </c>
      <c r="B142" s="42">
        <f t="shared" si="12"/>
        <v>1517</v>
      </c>
      <c r="C142" s="45">
        <v>690</v>
      </c>
      <c r="D142" s="45">
        <v>827</v>
      </c>
    </row>
    <row r="143" spans="1:4" x14ac:dyDescent="0.25">
      <c r="A143" s="48" t="s">
        <v>55</v>
      </c>
      <c r="B143" s="42">
        <f t="shared" si="12"/>
        <v>1242</v>
      </c>
      <c r="C143" s="45">
        <v>566</v>
      </c>
      <c r="D143" s="45">
        <v>676</v>
      </c>
    </row>
    <row r="144" spans="1:4" x14ac:dyDescent="0.25">
      <c r="A144" s="49" t="s">
        <v>56</v>
      </c>
      <c r="B144" s="42">
        <f t="shared" si="12"/>
        <v>1193</v>
      </c>
      <c r="C144" s="45">
        <v>575</v>
      </c>
      <c r="D144" s="45">
        <v>618</v>
      </c>
    </row>
    <row r="145" spans="1:4" x14ac:dyDescent="0.25">
      <c r="A145" s="48" t="s">
        <v>57</v>
      </c>
      <c r="B145" s="42">
        <f t="shared" si="12"/>
        <v>1055</v>
      </c>
      <c r="C145" s="45">
        <v>551</v>
      </c>
      <c r="D145" s="45">
        <v>504</v>
      </c>
    </row>
    <row r="146" spans="1:4" x14ac:dyDescent="0.25">
      <c r="A146" s="48" t="s">
        <v>58</v>
      </c>
      <c r="B146" s="42">
        <f t="shared" si="12"/>
        <v>763</v>
      </c>
      <c r="C146" s="45">
        <v>369</v>
      </c>
      <c r="D146" s="45">
        <v>394</v>
      </c>
    </row>
    <row r="147" spans="1:4" x14ac:dyDescent="0.25">
      <c r="A147" s="48" t="s">
        <v>59</v>
      </c>
      <c r="B147" s="42">
        <f t="shared" si="12"/>
        <v>1379</v>
      </c>
      <c r="C147" s="45">
        <v>784</v>
      </c>
      <c r="D147" s="45">
        <v>595</v>
      </c>
    </row>
  </sheetData>
  <mergeCells count="5">
    <mergeCell ref="A2:D2"/>
    <mergeCell ref="A4:D4"/>
    <mergeCell ref="C5:D5"/>
    <mergeCell ref="A54:D54"/>
    <mergeCell ref="A108:D10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workbookViewId="0">
      <selection sqref="A1:D130"/>
    </sheetView>
  </sheetViews>
  <sheetFormatPr baseColWidth="10" defaultRowHeight="13.2" x14ac:dyDescent="0.25"/>
  <cols>
    <col min="1" max="1" width="41" bestFit="1" customWidth="1"/>
    <col min="2" max="3" width="20.88671875" customWidth="1"/>
    <col min="4" max="4" width="21.88671875" customWidth="1"/>
  </cols>
  <sheetData>
    <row r="1" spans="1:4" ht="22.8" x14ac:dyDescent="0.25">
      <c r="A1" s="79" t="s">
        <v>90</v>
      </c>
      <c r="B1" s="80"/>
      <c r="C1" s="80"/>
      <c r="D1" s="80"/>
    </row>
    <row r="2" spans="1:4" x14ac:dyDescent="0.25">
      <c r="A2" s="30"/>
      <c r="B2" s="31"/>
      <c r="C2" s="31"/>
      <c r="D2" s="31"/>
    </row>
    <row r="3" spans="1:4" ht="18" thickBot="1" x14ac:dyDescent="0.35">
      <c r="A3" s="85" t="s">
        <v>91</v>
      </c>
      <c r="B3" s="86"/>
      <c r="C3" s="86"/>
      <c r="D3" s="86"/>
    </row>
    <row r="4" spans="1:4" ht="13.8" thickBot="1" x14ac:dyDescent="0.3">
      <c r="A4" s="32"/>
      <c r="B4" s="33" t="s">
        <v>23</v>
      </c>
      <c r="C4" s="81" t="s">
        <v>24</v>
      </c>
      <c r="D4" s="82"/>
    </row>
    <row r="5" spans="1:4" ht="13.8" thickBot="1" x14ac:dyDescent="0.3">
      <c r="A5" s="34" t="s">
        <v>25</v>
      </c>
      <c r="B5" s="35" t="s">
        <v>26</v>
      </c>
      <c r="C5" s="36" t="s">
        <v>4</v>
      </c>
      <c r="D5" s="36" t="s">
        <v>15</v>
      </c>
    </row>
    <row r="6" spans="1:4" ht="13.8" thickBot="1" x14ac:dyDescent="0.3">
      <c r="A6" s="37" t="s">
        <v>27</v>
      </c>
      <c r="B6" s="38">
        <f>+B9+B21+B29+B7</f>
        <v>53755</v>
      </c>
      <c r="C6" s="39">
        <f>+C9+C21+C29+C7</f>
        <v>24385</v>
      </c>
      <c r="D6" s="39">
        <f>+D9+D21+D29+D7</f>
        <v>29370</v>
      </c>
    </row>
    <row r="7" spans="1:4" x14ac:dyDescent="0.25">
      <c r="A7" s="41" t="s">
        <v>29</v>
      </c>
      <c r="B7" s="42">
        <f>+C7+D7</f>
        <v>259</v>
      </c>
      <c r="C7" s="43">
        <v>199</v>
      </c>
      <c r="D7" s="43">
        <v>60</v>
      </c>
    </row>
    <row r="8" spans="1:4" ht="13.8" thickBot="1" x14ac:dyDescent="0.3">
      <c r="A8" s="30"/>
      <c r="B8" s="30"/>
      <c r="C8" s="40"/>
      <c r="D8" s="40"/>
    </row>
    <row r="9" spans="1:4" ht="13.8" thickBot="1" x14ac:dyDescent="0.3">
      <c r="A9" s="37" t="s">
        <v>28</v>
      </c>
      <c r="B9" s="38">
        <f>+C9+D9</f>
        <v>5742</v>
      </c>
      <c r="C9" s="39">
        <f>SUM(C10:C19)</f>
        <v>2375</v>
      </c>
      <c r="D9" s="39">
        <f>SUM(D10:D19)</f>
        <v>3367</v>
      </c>
    </row>
    <row r="10" spans="1:4" x14ac:dyDescent="0.25">
      <c r="A10" s="44" t="s">
        <v>30</v>
      </c>
      <c r="B10" s="42">
        <f t="shared" ref="B10:B19" si="0">+C10+D10</f>
        <v>327</v>
      </c>
      <c r="C10" s="43">
        <f t="shared" ref="C10:D19" si="1">+C54+C97</f>
        <v>120</v>
      </c>
      <c r="D10" s="43">
        <f t="shared" si="1"/>
        <v>207</v>
      </c>
    </row>
    <row r="11" spans="1:4" x14ac:dyDescent="0.25">
      <c r="A11" s="41" t="s">
        <v>31</v>
      </c>
      <c r="B11" s="42">
        <f t="shared" si="0"/>
        <v>512</v>
      </c>
      <c r="C11" s="43">
        <f t="shared" si="1"/>
        <v>191</v>
      </c>
      <c r="D11" s="43">
        <f t="shared" si="1"/>
        <v>321</v>
      </c>
    </row>
    <row r="12" spans="1:4" x14ac:dyDescent="0.25">
      <c r="A12" s="44" t="s">
        <v>32</v>
      </c>
      <c r="B12" s="42">
        <f t="shared" si="0"/>
        <v>651</v>
      </c>
      <c r="C12" s="43">
        <f t="shared" si="1"/>
        <v>269</v>
      </c>
      <c r="D12" s="43">
        <f t="shared" si="1"/>
        <v>382</v>
      </c>
    </row>
    <row r="13" spans="1:4" x14ac:dyDescent="0.25">
      <c r="A13" s="44" t="s">
        <v>33</v>
      </c>
      <c r="B13" s="42">
        <f t="shared" si="0"/>
        <v>709</v>
      </c>
      <c r="C13" s="43">
        <f t="shared" si="1"/>
        <v>273</v>
      </c>
      <c r="D13" s="43">
        <f t="shared" si="1"/>
        <v>436</v>
      </c>
    </row>
    <row r="14" spans="1:4" x14ac:dyDescent="0.25">
      <c r="A14" s="44" t="s">
        <v>34</v>
      </c>
      <c r="B14" s="42">
        <f t="shared" si="0"/>
        <v>542</v>
      </c>
      <c r="C14" s="43">
        <f t="shared" si="1"/>
        <v>237</v>
      </c>
      <c r="D14" s="43">
        <f t="shared" si="1"/>
        <v>305</v>
      </c>
    </row>
    <row r="15" spans="1:4" x14ac:dyDescent="0.25">
      <c r="A15" s="44" t="s">
        <v>35</v>
      </c>
      <c r="B15" s="42">
        <f t="shared" si="0"/>
        <v>570</v>
      </c>
      <c r="C15" s="43">
        <f t="shared" si="1"/>
        <v>231</v>
      </c>
      <c r="D15" s="43">
        <f t="shared" si="1"/>
        <v>339</v>
      </c>
    </row>
    <row r="16" spans="1:4" x14ac:dyDescent="0.25">
      <c r="A16" s="44" t="s">
        <v>36</v>
      </c>
      <c r="B16" s="42">
        <f t="shared" si="0"/>
        <v>541</v>
      </c>
      <c r="C16" s="43">
        <f t="shared" si="1"/>
        <v>248</v>
      </c>
      <c r="D16" s="43">
        <f t="shared" si="1"/>
        <v>293</v>
      </c>
    </row>
    <row r="17" spans="1:4" x14ac:dyDescent="0.25">
      <c r="A17" s="44" t="s">
        <v>37</v>
      </c>
      <c r="B17" s="42">
        <f t="shared" si="0"/>
        <v>605</v>
      </c>
      <c r="C17" s="43">
        <f t="shared" si="1"/>
        <v>269</v>
      </c>
      <c r="D17" s="43">
        <f t="shared" si="1"/>
        <v>336</v>
      </c>
    </row>
    <row r="18" spans="1:4" x14ac:dyDescent="0.25">
      <c r="A18" s="44" t="s">
        <v>38</v>
      </c>
      <c r="B18" s="42">
        <f t="shared" si="0"/>
        <v>646</v>
      </c>
      <c r="C18" s="43">
        <f t="shared" si="1"/>
        <v>269</v>
      </c>
      <c r="D18" s="43">
        <f t="shared" si="1"/>
        <v>377</v>
      </c>
    </row>
    <row r="19" spans="1:4" x14ac:dyDescent="0.25">
      <c r="A19" s="44" t="s">
        <v>39</v>
      </c>
      <c r="B19" s="42">
        <f t="shared" si="0"/>
        <v>639</v>
      </c>
      <c r="C19" s="43">
        <f t="shared" si="1"/>
        <v>268</v>
      </c>
      <c r="D19" s="43">
        <f t="shared" si="1"/>
        <v>371</v>
      </c>
    </row>
    <row r="20" spans="1:4" ht="13.8" thickBot="1" x14ac:dyDescent="0.3">
      <c r="A20" s="46"/>
      <c r="B20" s="30"/>
      <c r="C20" s="40"/>
      <c r="D20" s="40"/>
    </row>
    <row r="21" spans="1:4" ht="13.8" thickBot="1" x14ac:dyDescent="0.3">
      <c r="A21" s="37" t="s">
        <v>40</v>
      </c>
      <c r="B21" s="38">
        <f>+C21+D21</f>
        <v>6503</v>
      </c>
      <c r="C21" s="39">
        <f>SUM(C22:C27)</f>
        <v>2897</v>
      </c>
      <c r="D21" s="39">
        <f>SUM(D22:D27)</f>
        <v>3606</v>
      </c>
    </row>
    <row r="22" spans="1:4" x14ac:dyDescent="0.25">
      <c r="A22" s="41" t="s">
        <v>41</v>
      </c>
      <c r="B22" s="42">
        <f t="shared" ref="B22:B27" si="2">+C22+D22</f>
        <v>647</v>
      </c>
      <c r="C22" s="43">
        <f t="shared" ref="C22:D27" si="3">+C66+C109</f>
        <v>285</v>
      </c>
      <c r="D22" s="43">
        <f t="shared" si="3"/>
        <v>362</v>
      </c>
    </row>
    <row r="23" spans="1:4" x14ac:dyDescent="0.25">
      <c r="A23" s="41" t="s">
        <v>42</v>
      </c>
      <c r="B23" s="42">
        <f t="shared" si="2"/>
        <v>606</v>
      </c>
      <c r="C23" s="43">
        <f t="shared" si="3"/>
        <v>254</v>
      </c>
      <c r="D23" s="43">
        <f t="shared" si="3"/>
        <v>352</v>
      </c>
    </row>
    <row r="24" spans="1:4" x14ac:dyDescent="0.25">
      <c r="A24" s="41" t="s">
        <v>43</v>
      </c>
      <c r="B24" s="42">
        <f t="shared" si="2"/>
        <v>620</v>
      </c>
      <c r="C24" s="43">
        <f t="shared" si="3"/>
        <v>247</v>
      </c>
      <c r="D24" s="43">
        <f t="shared" si="3"/>
        <v>373</v>
      </c>
    </row>
    <row r="25" spans="1:4" x14ac:dyDescent="0.25">
      <c r="A25" s="41" t="s">
        <v>44</v>
      </c>
      <c r="B25" s="42">
        <f t="shared" si="2"/>
        <v>608</v>
      </c>
      <c r="C25" s="43">
        <f t="shared" si="3"/>
        <v>276</v>
      </c>
      <c r="D25" s="43">
        <f t="shared" si="3"/>
        <v>332</v>
      </c>
    </row>
    <row r="26" spans="1:4" x14ac:dyDescent="0.25">
      <c r="A26" s="41" t="s">
        <v>45</v>
      </c>
      <c r="B26" s="42">
        <f t="shared" si="2"/>
        <v>600</v>
      </c>
      <c r="C26" s="43">
        <f t="shared" si="3"/>
        <v>279</v>
      </c>
      <c r="D26" s="43">
        <f t="shared" si="3"/>
        <v>321</v>
      </c>
    </row>
    <row r="27" spans="1:4" x14ac:dyDescent="0.25">
      <c r="A27" s="44" t="s">
        <v>46</v>
      </c>
      <c r="B27" s="42">
        <f t="shared" si="2"/>
        <v>3422</v>
      </c>
      <c r="C27" s="43">
        <f t="shared" si="3"/>
        <v>1556</v>
      </c>
      <c r="D27" s="43">
        <f t="shared" si="3"/>
        <v>1866</v>
      </c>
    </row>
    <row r="28" spans="1:4" ht="13.8" thickBot="1" x14ac:dyDescent="0.3">
      <c r="A28" s="47"/>
      <c r="B28" s="30"/>
      <c r="C28" s="40"/>
      <c r="D28" s="40"/>
    </row>
    <row r="29" spans="1:4" ht="13.8" thickBot="1" x14ac:dyDescent="0.3">
      <c r="A29" s="37" t="s">
        <v>47</v>
      </c>
      <c r="B29" s="38">
        <f>+C29+D29</f>
        <v>41251</v>
      </c>
      <c r="C29" s="39">
        <f>SUM(C30:C42)</f>
        <v>18914</v>
      </c>
      <c r="D29" s="39">
        <f>SUM(D30:D42)</f>
        <v>22337</v>
      </c>
    </row>
    <row r="30" spans="1:4" x14ac:dyDescent="0.25">
      <c r="A30" s="48" t="s">
        <v>21</v>
      </c>
      <c r="B30" s="42">
        <f t="shared" ref="B30:B42" si="4">+C30+D30</f>
        <v>3681</v>
      </c>
      <c r="C30" s="43">
        <f t="shared" ref="C30:D42" si="5">+C74+C117</f>
        <v>1714</v>
      </c>
      <c r="D30" s="43">
        <f t="shared" si="5"/>
        <v>1967</v>
      </c>
    </row>
    <row r="31" spans="1:4" x14ac:dyDescent="0.25">
      <c r="A31" s="48" t="s">
        <v>48</v>
      </c>
      <c r="B31" s="42">
        <f t="shared" si="4"/>
        <v>3800</v>
      </c>
      <c r="C31" s="43">
        <f t="shared" si="5"/>
        <v>1741</v>
      </c>
      <c r="D31" s="43">
        <f t="shared" si="5"/>
        <v>2059</v>
      </c>
    </row>
    <row r="32" spans="1:4" x14ac:dyDescent="0.25">
      <c r="A32" s="48" t="s">
        <v>49</v>
      </c>
      <c r="B32" s="42">
        <f t="shared" si="4"/>
        <v>3282</v>
      </c>
      <c r="C32" s="43">
        <f t="shared" si="5"/>
        <v>1424</v>
      </c>
      <c r="D32" s="43">
        <f t="shared" si="5"/>
        <v>1858</v>
      </c>
    </row>
    <row r="33" spans="1:4" x14ac:dyDescent="0.25">
      <c r="A33" s="48" t="s">
        <v>50</v>
      </c>
      <c r="B33" s="42">
        <f t="shared" si="4"/>
        <v>3126</v>
      </c>
      <c r="C33" s="43">
        <f t="shared" si="5"/>
        <v>1398</v>
      </c>
      <c r="D33" s="43">
        <f t="shared" si="5"/>
        <v>1728</v>
      </c>
    </row>
    <row r="34" spans="1:4" x14ac:dyDescent="0.25">
      <c r="A34" s="48" t="s">
        <v>51</v>
      </c>
      <c r="B34" s="42">
        <f t="shared" si="4"/>
        <v>3016</v>
      </c>
      <c r="C34" s="43">
        <f t="shared" si="5"/>
        <v>1388</v>
      </c>
      <c r="D34" s="43">
        <f t="shared" si="5"/>
        <v>1628</v>
      </c>
    </row>
    <row r="35" spans="1:4" x14ac:dyDescent="0.25">
      <c r="A35" s="48" t="s">
        <v>52</v>
      </c>
      <c r="B35" s="42">
        <f t="shared" si="4"/>
        <v>3164</v>
      </c>
      <c r="C35" s="43">
        <f t="shared" si="5"/>
        <v>1457</v>
      </c>
      <c r="D35" s="43">
        <f t="shared" si="5"/>
        <v>1707</v>
      </c>
    </row>
    <row r="36" spans="1:4" x14ac:dyDescent="0.25">
      <c r="A36" s="48" t="s">
        <v>53</v>
      </c>
      <c r="B36" s="42">
        <f t="shared" si="4"/>
        <v>3405</v>
      </c>
      <c r="C36" s="43">
        <f t="shared" si="5"/>
        <v>1588</v>
      </c>
      <c r="D36" s="43">
        <f t="shared" si="5"/>
        <v>1817</v>
      </c>
    </row>
    <row r="37" spans="1:4" x14ac:dyDescent="0.25">
      <c r="A37" s="48" t="s">
        <v>54</v>
      </c>
      <c r="B37" s="42">
        <f t="shared" si="4"/>
        <v>3654</v>
      </c>
      <c r="C37" s="43">
        <f t="shared" si="5"/>
        <v>1618</v>
      </c>
      <c r="D37" s="43">
        <f t="shared" si="5"/>
        <v>2036</v>
      </c>
    </row>
    <row r="38" spans="1:4" x14ac:dyDescent="0.25">
      <c r="A38" s="48" t="s">
        <v>55</v>
      </c>
      <c r="B38" s="42">
        <f t="shared" si="4"/>
        <v>3117</v>
      </c>
      <c r="C38" s="43">
        <f t="shared" si="5"/>
        <v>1339</v>
      </c>
      <c r="D38" s="43">
        <f t="shared" si="5"/>
        <v>1778</v>
      </c>
    </row>
    <row r="39" spans="1:4" x14ac:dyDescent="0.25">
      <c r="A39" s="49" t="s">
        <v>56</v>
      </c>
      <c r="B39" s="42">
        <f t="shared" si="4"/>
        <v>2800</v>
      </c>
      <c r="C39" s="43">
        <f t="shared" si="5"/>
        <v>1299</v>
      </c>
      <c r="D39" s="43">
        <f t="shared" si="5"/>
        <v>1501</v>
      </c>
    </row>
    <row r="40" spans="1:4" x14ac:dyDescent="0.25">
      <c r="A40" s="48" t="s">
        <v>57</v>
      </c>
      <c r="B40" s="42">
        <f t="shared" si="4"/>
        <v>2573</v>
      </c>
      <c r="C40" s="43">
        <f t="shared" si="5"/>
        <v>1223</v>
      </c>
      <c r="D40" s="43">
        <f t="shared" si="5"/>
        <v>1350</v>
      </c>
    </row>
    <row r="41" spans="1:4" x14ac:dyDescent="0.25">
      <c r="A41" s="48" t="s">
        <v>58</v>
      </c>
      <c r="B41" s="42">
        <f t="shared" si="4"/>
        <v>2079</v>
      </c>
      <c r="C41" s="43">
        <f t="shared" si="5"/>
        <v>980</v>
      </c>
      <c r="D41" s="43">
        <f t="shared" si="5"/>
        <v>1099</v>
      </c>
    </row>
    <row r="42" spans="1:4" x14ac:dyDescent="0.25">
      <c r="A42" s="48" t="s">
        <v>59</v>
      </c>
      <c r="B42" s="42">
        <f t="shared" si="4"/>
        <v>3554</v>
      </c>
      <c r="C42" s="43">
        <f t="shared" si="5"/>
        <v>1745</v>
      </c>
      <c r="D42" s="43">
        <f t="shared" si="5"/>
        <v>1809</v>
      </c>
    </row>
    <row r="43" spans="1:4" x14ac:dyDescent="0.25">
      <c r="A43" s="50"/>
      <c r="B43" s="51"/>
      <c r="C43" s="51"/>
      <c r="D43" s="51"/>
    </row>
    <row r="44" spans="1:4" x14ac:dyDescent="0.25">
      <c r="A44" s="30"/>
      <c r="B44" s="30"/>
      <c r="C44" s="40"/>
      <c r="D44" s="40"/>
    </row>
    <row r="45" spans="1:4" x14ac:dyDescent="0.25">
      <c r="A45" s="57"/>
      <c r="B45" s="57"/>
      <c r="C45" s="58"/>
      <c r="D45" s="58"/>
    </row>
    <row r="46" spans="1:4" x14ac:dyDescent="0.25">
      <c r="A46" s="57"/>
      <c r="B46" s="57"/>
      <c r="C46" s="58"/>
      <c r="D46" s="58"/>
    </row>
    <row r="47" spans="1:4" x14ac:dyDescent="0.25">
      <c r="A47" s="30"/>
      <c r="B47" s="30"/>
      <c r="C47" s="40"/>
      <c r="D47" s="40"/>
    </row>
    <row r="48" spans="1:4" ht="17.399999999999999" x14ac:dyDescent="0.3">
      <c r="A48" s="83" t="s">
        <v>92</v>
      </c>
      <c r="B48" s="84"/>
      <c r="C48" s="84"/>
      <c r="D48" s="84"/>
    </row>
    <row r="49" spans="1:4" ht="13.8" thickBot="1" x14ac:dyDescent="0.3">
      <c r="A49" s="52"/>
      <c r="B49" s="30"/>
      <c r="C49" s="40"/>
      <c r="D49" s="40"/>
    </row>
    <row r="50" spans="1:4" ht="13.8" thickBot="1" x14ac:dyDescent="0.3">
      <c r="A50" s="37" t="s">
        <v>61</v>
      </c>
      <c r="B50" s="38">
        <f>+C50+D50</f>
        <v>29924</v>
      </c>
      <c r="C50" s="39">
        <f>+C53+C65+C73+C51</f>
        <v>13176</v>
      </c>
      <c r="D50" s="39">
        <f>+D53+D65+D73</f>
        <v>16748</v>
      </c>
    </row>
    <row r="51" spans="1:4" x14ac:dyDescent="0.25">
      <c r="A51" s="44" t="s">
        <v>62</v>
      </c>
      <c r="B51" s="42">
        <f>+C51+D51</f>
        <v>2</v>
      </c>
      <c r="C51" s="43">
        <v>2</v>
      </c>
      <c r="D51" s="43"/>
    </row>
    <row r="52" spans="1:4" ht="13.8" thickBot="1" x14ac:dyDescent="0.3">
      <c r="A52" s="30"/>
      <c r="B52" s="30"/>
      <c r="C52" s="40"/>
      <c r="D52" s="40"/>
    </row>
    <row r="53" spans="1:4" ht="13.8" thickBot="1" x14ac:dyDescent="0.3">
      <c r="A53" s="37" t="s">
        <v>28</v>
      </c>
      <c r="B53" s="38">
        <f>+C53+D53</f>
        <v>2756</v>
      </c>
      <c r="C53" s="39">
        <f>SUM(C54:C63)</f>
        <v>1144</v>
      </c>
      <c r="D53" s="39">
        <f>SUM(D54:D63)</f>
        <v>1612</v>
      </c>
    </row>
    <row r="54" spans="1:4" x14ac:dyDescent="0.25">
      <c r="A54" s="44" t="s">
        <v>30</v>
      </c>
      <c r="B54" s="42">
        <f t="shared" ref="B54:B63" si="6">+C54+D54</f>
        <v>156</v>
      </c>
      <c r="C54" s="45">
        <v>59</v>
      </c>
      <c r="D54" s="45">
        <v>97</v>
      </c>
    </row>
    <row r="55" spans="1:4" x14ac:dyDescent="0.25">
      <c r="A55" s="41" t="s">
        <v>31</v>
      </c>
      <c r="B55" s="42">
        <f t="shared" si="6"/>
        <v>232</v>
      </c>
      <c r="C55" s="45">
        <v>85</v>
      </c>
      <c r="D55" s="45">
        <v>147</v>
      </c>
    </row>
    <row r="56" spans="1:4" x14ac:dyDescent="0.25">
      <c r="A56" s="44" t="s">
        <v>32</v>
      </c>
      <c r="B56" s="42">
        <f t="shared" si="6"/>
        <v>305</v>
      </c>
      <c r="C56" s="45">
        <v>134</v>
      </c>
      <c r="D56" s="45">
        <v>171</v>
      </c>
    </row>
    <row r="57" spans="1:4" x14ac:dyDescent="0.25">
      <c r="A57" s="44" t="s">
        <v>33</v>
      </c>
      <c r="B57" s="42">
        <f t="shared" si="6"/>
        <v>364</v>
      </c>
      <c r="C57" s="45">
        <v>151</v>
      </c>
      <c r="D57" s="45">
        <v>213</v>
      </c>
    </row>
    <row r="58" spans="1:4" x14ac:dyDescent="0.25">
      <c r="A58" s="44" t="s">
        <v>34</v>
      </c>
      <c r="B58" s="42">
        <f t="shared" si="6"/>
        <v>272</v>
      </c>
      <c r="C58" s="45">
        <v>119</v>
      </c>
      <c r="D58" s="45">
        <v>153</v>
      </c>
    </row>
    <row r="59" spans="1:4" x14ac:dyDescent="0.25">
      <c r="A59" s="44" t="s">
        <v>35</v>
      </c>
      <c r="B59" s="42">
        <f t="shared" si="6"/>
        <v>266</v>
      </c>
      <c r="C59" s="45">
        <v>112</v>
      </c>
      <c r="D59" s="45">
        <v>154</v>
      </c>
    </row>
    <row r="60" spans="1:4" x14ac:dyDescent="0.25">
      <c r="A60" s="44" t="s">
        <v>36</v>
      </c>
      <c r="B60" s="42">
        <f t="shared" si="6"/>
        <v>257</v>
      </c>
      <c r="C60" s="45">
        <v>107</v>
      </c>
      <c r="D60" s="45">
        <v>150</v>
      </c>
    </row>
    <row r="61" spans="1:4" x14ac:dyDescent="0.25">
      <c r="A61" s="44" t="s">
        <v>37</v>
      </c>
      <c r="B61" s="42">
        <f t="shared" si="6"/>
        <v>291</v>
      </c>
      <c r="C61" s="45">
        <v>119</v>
      </c>
      <c r="D61" s="45">
        <v>172</v>
      </c>
    </row>
    <row r="62" spans="1:4" x14ac:dyDescent="0.25">
      <c r="A62" s="44" t="s">
        <v>38</v>
      </c>
      <c r="B62" s="42">
        <f t="shared" si="6"/>
        <v>315</v>
      </c>
      <c r="C62" s="45">
        <v>133</v>
      </c>
      <c r="D62" s="45">
        <v>182</v>
      </c>
    </row>
    <row r="63" spans="1:4" x14ac:dyDescent="0.25">
      <c r="A63" s="44" t="s">
        <v>39</v>
      </c>
      <c r="B63" s="42">
        <f t="shared" si="6"/>
        <v>298</v>
      </c>
      <c r="C63" s="45">
        <v>125</v>
      </c>
      <c r="D63" s="45">
        <v>173</v>
      </c>
    </row>
    <row r="64" spans="1:4" ht="13.8" thickBot="1" x14ac:dyDescent="0.3">
      <c r="A64" s="46"/>
      <c r="B64" s="30"/>
      <c r="C64" s="40"/>
      <c r="D64" s="40"/>
    </row>
    <row r="65" spans="1:4" ht="13.8" thickBot="1" x14ac:dyDescent="0.3">
      <c r="A65" s="37" t="s">
        <v>40</v>
      </c>
      <c r="B65" s="38">
        <f>+C65+D65</f>
        <v>3302</v>
      </c>
      <c r="C65" s="39">
        <f>SUM(C66:C71)</f>
        <v>1439</v>
      </c>
      <c r="D65" s="39">
        <f>SUM(D66:D71)</f>
        <v>1863</v>
      </c>
    </row>
    <row r="66" spans="1:4" x14ac:dyDescent="0.25">
      <c r="A66" s="41" t="s">
        <v>41</v>
      </c>
      <c r="B66" s="42">
        <f t="shared" ref="B66:B71" si="7">+C66+D66</f>
        <v>327</v>
      </c>
      <c r="C66" s="43">
        <v>141</v>
      </c>
      <c r="D66" s="43">
        <v>186</v>
      </c>
    </row>
    <row r="67" spans="1:4" x14ac:dyDescent="0.25">
      <c r="A67" s="41" t="s">
        <v>42</v>
      </c>
      <c r="B67" s="42">
        <f t="shared" si="7"/>
        <v>329</v>
      </c>
      <c r="C67" s="45">
        <v>125</v>
      </c>
      <c r="D67" s="45">
        <v>204</v>
      </c>
    </row>
    <row r="68" spans="1:4" x14ac:dyDescent="0.25">
      <c r="A68" s="41" t="s">
        <v>43</v>
      </c>
      <c r="B68" s="42">
        <f t="shared" si="7"/>
        <v>308</v>
      </c>
      <c r="C68" s="45">
        <v>118</v>
      </c>
      <c r="D68" s="45">
        <v>190</v>
      </c>
    </row>
    <row r="69" spans="1:4" x14ac:dyDescent="0.25">
      <c r="A69" s="41" t="s">
        <v>44</v>
      </c>
      <c r="B69" s="42">
        <f t="shared" si="7"/>
        <v>309</v>
      </c>
      <c r="C69" s="45">
        <v>123</v>
      </c>
      <c r="D69" s="45">
        <v>186</v>
      </c>
    </row>
    <row r="70" spans="1:4" x14ac:dyDescent="0.25">
      <c r="A70" s="41" t="s">
        <v>45</v>
      </c>
      <c r="B70" s="42">
        <f t="shared" si="7"/>
        <v>296</v>
      </c>
      <c r="C70" s="45">
        <v>139</v>
      </c>
      <c r="D70" s="45">
        <v>157</v>
      </c>
    </row>
    <row r="71" spans="1:4" x14ac:dyDescent="0.25">
      <c r="A71" s="44" t="s">
        <v>46</v>
      </c>
      <c r="B71" s="42">
        <f t="shared" si="7"/>
        <v>1733</v>
      </c>
      <c r="C71" s="45">
        <v>793</v>
      </c>
      <c r="D71" s="45">
        <v>940</v>
      </c>
    </row>
    <row r="72" spans="1:4" ht="13.8" thickBot="1" x14ac:dyDescent="0.3">
      <c r="A72" s="47"/>
      <c r="B72" s="30"/>
      <c r="C72" s="40"/>
      <c r="D72" s="40"/>
    </row>
    <row r="73" spans="1:4" ht="13.8" thickBot="1" x14ac:dyDescent="0.3">
      <c r="A73" s="37" t="s">
        <v>47</v>
      </c>
      <c r="B73" s="38">
        <f>+C73+D73</f>
        <v>23864</v>
      </c>
      <c r="C73" s="39">
        <f>SUM(C74:C86)</f>
        <v>10591</v>
      </c>
      <c r="D73" s="39">
        <f>SUM(D74:D86)</f>
        <v>13273</v>
      </c>
    </row>
    <row r="74" spans="1:4" x14ac:dyDescent="0.25">
      <c r="A74" s="48" t="s">
        <v>21</v>
      </c>
      <c r="B74" s="42">
        <f t="shared" ref="B74:B86" si="8">+C74+D74</f>
        <v>1935</v>
      </c>
      <c r="C74" s="43">
        <v>883</v>
      </c>
      <c r="D74" s="43">
        <v>1052</v>
      </c>
    </row>
    <row r="75" spans="1:4" x14ac:dyDescent="0.25">
      <c r="A75" s="48" t="s">
        <v>48</v>
      </c>
      <c r="B75" s="42">
        <f t="shared" si="8"/>
        <v>2168</v>
      </c>
      <c r="C75" s="45">
        <v>959</v>
      </c>
      <c r="D75" s="45">
        <v>1209</v>
      </c>
    </row>
    <row r="76" spans="1:4" x14ac:dyDescent="0.25">
      <c r="A76" s="48" t="s">
        <v>49</v>
      </c>
      <c r="B76" s="42">
        <f t="shared" si="8"/>
        <v>1934</v>
      </c>
      <c r="C76" s="45">
        <v>798</v>
      </c>
      <c r="D76" s="45">
        <v>1136</v>
      </c>
    </row>
    <row r="77" spans="1:4" x14ac:dyDescent="0.25">
      <c r="A77" s="48" t="s">
        <v>50</v>
      </c>
      <c r="B77" s="42">
        <f t="shared" si="8"/>
        <v>1823</v>
      </c>
      <c r="C77" s="45">
        <v>813</v>
      </c>
      <c r="D77" s="45">
        <v>1010</v>
      </c>
    </row>
    <row r="78" spans="1:4" x14ac:dyDescent="0.25">
      <c r="A78" s="48" t="s">
        <v>51</v>
      </c>
      <c r="B78" s="42">
        <f t="shared" si="8"/>
        <v>1768</v>
      </c>
      <c r="C78" s="45">
        <v>803</v>
      </c>
      <c r="D78" s="45">
        <v>965</v>
      </c>
    </row>
    <row r="79" spans="1:4" x14ac:dyDescent="0.25">
      <c r="A79" s="48" t="s">
        <v>52</v>
      </c>
      <c r="B79" s="42">
        <f t="shared" si="8"/>
        <v>1839</v>
      </c>
      <c r="C79" s="45">
        <v>821</v>
      </c>
      <c r="D79" s="45">
        <v>1018</v>
      </c>
    </row>
    <row r="80" spans="1:4" x14ac:dyDescent="0.25">
      <c r="A80" s="48" t="s">
        <v>53</v>
      </c>
      <c r="B80" s="42">
        <f t="shared" si="8"/>
        <v>1933</v>
      </c>
      <c r="C80" s="45">
        <v>905</v>
      </c>
      <c r="D80" s="45">
        <v>1028</v>
      </c>
    </row>
    <row r="81" spans="1:4" x14ac:dyDescent="0.25">
      <c r="A81" s="48" t="s">
        <v>54</v>
      </c>
      <c r="B81" s="42">
        <f t="shared" si="8"/>
        <v>2103</v>
      </c>
      <c r="C81" s="45">
        <v>927</v>
      </c>
      <c r="D81" s="45">
        <v>1176</v>
      </c>
    </row>
    <row r="82" spans="1:4" x14ac:dyDescent="0.25">
      <c r="A82" s="48" t="s">
        <v>55</v>
      </c>
      <c r="B82" s="42">
        <f t="shared" si="8"/>
        <v>1795</v>
      </c>
      <c r="C82" s="45">
        <v>740</v>
      </c>
      <c r="D82" s="45">
        <v>1055</v>
      </c>
    </row>
    <row r="83" spans="1:4" x14ac:dyDescent="0.25">
      <c r="A83" s="49" t="s">
        <v>56</v>
      </c>
      <c r="B83" s="42">
        <f t="shared" si="8"/>
        <v>1616</v>
      </c>
      <c r="C83" s="45">
        <v>746</v>
      </c>
      <c r="D83" s="45">
        <v>870</v>
      </c>
    </row>
    <row r="84" spans="1:4" x14ac:dyDescent="0.25">
      <c r="A84" s="48" t="s">
        <v>57</v>
      </c>
      <c r="B84" s="42">
        <f t="shared" si="8"/>
        <v>1475</v>
      </c>
      <c r="C84" s="45">
        <v>661</v>
      </c>
      <c r="D84" s="45">
        <v>814</v>
      </c>
    </row>
    <row r="85" spans="1:4" x14ac:dyDescent="0.25">
      <c r="A85" s="48" t="s">
        <v>58</v>
      </c>
      <c r="B85" s="42">
        <f t="shared" si="8"/>
        <v>1278</v>
      </c>
      <c r="C85" s="45">
        <v>572</v>
      </c>
      <c r="D85" s="45">
        <v>706</v>
      </c>
    </row>
    <row r="86" spans="1:4" x14ac:dyDescent="0.25">
      <c r="A86" s="48" t="s">
        <v>59</v>
      </c>
      <c r="B86" s="42">
        <f t="shared" si="8"/>
        <v>2197</v>
      </c>
      <c r="C86" s="45">
        <v>963</v>
      </c>
      <c r="D86" s="45">
        <v>1234</v>
      </c>
    </row>
    <row r="88" spans="1:4" x14ac:dyDescent="0.25">
      <c r="A88" s="56"/>
      <c r="B88" s="56"/>
      <c r="C88" s="56"/>
      <c r="D88" s="56"/>
    </row>
    <row r="89" spans="1:4" x14ac:dyDescent="0.25">
      <c r="A89" s="56"/>
      <c r="B89" s="56"/>
      <c r="C89" s="56"/>
      <c r="D89" s="56"/>
    </row>
    <row r="91" spans="1:4" ht="17.399999999999999" x14ac:dyDescent="0.3">
      <c r="A91" s="83" t="s">
        <v>93</v>
      </c>
      <c r="B91" s="84"/>
      <c r="C91" s="84"/>
      <c r="D91" s="84"/>
    </row>
    <row r="92" spans="1:4" ht="13.8" thickBot="1" x14ac:dyDescent="0.3">
      <c r="A92" s="52"/>
      <c r="B92" s="30"/>
      <c r="C92" s="40"/>
      <c r="D92" s="40"/>
    </row>
    <row r="93" spans="1:4" ht="13.8" thickBot="1" x14ac:dyDescent="0.3">
      <c r="A93" s="37" t="s">
        <v>64</v>
      </c>
      <c r="B93" s="38">
        <f>+C93+D93</f>
        <v>23576</v>
      </c>
      <c r="C93" s="39">
        <f>+C96+C108+C116+C94</f>
        <v>11014</v>
      </c>
      <c r="D93" s="39">
        <f>+D96+D108+D116</f>
        <v>12562</v>
      </c>
    </row>
    <row r="94" spans="1:4" x14ac:dyDescent="0.25">
      <c r="A94" s="44" t="s">
        <v>62</v>
      </c>
      <c r="B94" s="42">
        <f>+C94+D94</f>
        <v>5</v>
      </c>
      <c r="C94" s="43">
        <v>2</v>
      </c>
      <c r="D94" s="43">
        <v>3</v>
      </c>
    </row>
    <row r="95" spans="1:4" ht="13.8" thickBot="1" x14ac:dyDescent="0.3">
      <c r="A95" s="30"/>
      <c r="B95" s="30"/>
      <c r="C95" s="40"/>
      <c r="D95" s="40"/>
    </row>
    <row r="96" spans="1:4" ht="13.8" thickBot="1" x14ac:dyDescent="0.3">
      <c r="A96" s="37" t="s">
        <v>28</v>
      </c>
      <c r="B96" s="38">
        <f>+C96+D96</f>
        <v>2986</v>
      </c>
      <c r="C96" s="39">
        <f>SUM(C97:C106)</f>
        <v>1231</v>
      </c>
      <c r="D96" s="39">
        <f>SUM(D97:D106)</f>
        <v>1755</v>
      </c>
    </row>
    <row r="97" spans="1:4" x14ac:dyDescent="0.25">
      <c r="A97" s="44" t="s">
        <v>30</v>
      </c>
      <c r="B97" s="42">
        <f t="shared" ref="B97:B106" si="9">+C97+D97</f>
        <v>171</v>
      </c>
      <c r="C97" s="45">
        <v>61</v>
      </c>
      <c r="D97" s="45">
        <v>110</v>
      </c>
    </row>
    <row r="98" spans="1:4" x14ac:dyDescent="0.25">
      <c r="A98" s="41" t="s">
        <v>31</v>
      </c>
      <c r="B98" s="42">
        <f t="shared" si="9"/>
        <v>280</v>
      </c>
      <c r="C98" s="45">
        <v>106</v>
      </c>
      <c r="D98" s="45">
        <v>174</v>
      </c>
    </row>
    <row r="99" spans="1:4" x14ac:dyDescent="0.25">
      <c r="A99" s="44" t="s">
        <v>32</v>
      </c>
      <c r="B99" s="42">
        <f t="shared" si="9"/>
        <v>346</v>
      </c>
      <c r="C99" s="45">
        <v>135</v>
      </c>
      <c r="D99" s="45">
        <v>211</v>
      </c>
    </row>
    <row r="100" spans="1:4" x14ac:dyDescent="0.25">
      <c r="A100" s="44" t="s">
        <v>33</v>
      </c>
      <c r="B100" s="42">
        <f t="shared" si="9"/>
        <v>345</v>
      </c>
      <c r="C100" s="45">
        <v>122</v>
      </c>
      <c r="D100" s="45">
        <v>223</v>
      </c>
    </row>
    <row r="101" spans="1:4" x14ac:dyDescent="0.25">
      <c r="A101" s="44" t="s">
        <v>34</v>
      </c>
      <c r="B101" s="42">
        <f t="shared" si="9"/>
        <v>270</v>
      </c>
      <c r="C101" s="45">
        <v>118</v>
      </c>
      <c r="D101" s="45">
        <v>152</v>
      </c>
    </row>
    <row r="102" spans="1:4" x14ac:dyDescent="0.25">
      <c r="A102" s="44" t="s">
        <v>35</v>
      </c>
      <c r="B102" s="42">
        <f t="shared" si="9"/>
        <v>304</v>
      </c>
      <c r="C102" s="45">
        <v>119</v>
      </c>
      <c r="D102" s="45">
        <v>185</v>
      </c>
    </row>
    <row r="103" spans="1:4" x14ac:dyDescent="0.25">
      <c r="A103" s="44" t="s">
        <v>36</v>
      </c>
      <c r="B103" s="42">
        <f t="shared" si="9"/>
        <v>284</v>
      </c>
      <c r="C103" s="45">
        <v>141</v>
      </c>
      <c r="D103" s="45">
        <v>143</v>
      </c>
    </row>
    <row r="104" spans="1:4" x14ac:dyDescent="0.25">
      <c r="A104" s="44" t="s">
        <v>37</v>
      </c>
      <c r="B104" s="42">
        <f t="shared" si="9"/>
        <v>314</v>
      </c>
      <c r="C104" s="45">
        <v>150</v>
      </c>
      <c r="D104" s="45">
        <v>164</v>
      </c>
    </row>
    <row r="105" spans="1:4" x14ac:dyDescent="0.25">
      <c r="A105" s="44" t="s">
        <v>38</v>
      </c>
      <c r="B105" s="42">
        <f t="shared" si="9"/>
        <v>331</v>
      </c>
      <c r="C105" s="45">
        <v>136</v>
      </c>
      <c r="D105" s="45">
        <v>195</v>
      </c>
    </row>
    <row r="106" spans="1:4" x14ac:dyDescent="0.25">
      <c r="A106" s="44" t="s">
        <v>39</v>
      </c>
      <c r="B106" s="42">
        <f t="shared" si="9"/>
        <v>341</v>
      </c>
      <c r="C106" s="45">
        <v>143</v>
      </c>
      <c r="D106" s="45">
        <v>198</v>
      </c>
    </row>
    <row r="107" spans="1:4" ht="13.8" thickBot="1" x14ac:dyDescent="0.3">
      <c r="A107" s="46"/>
      <c r="B107" s="30"/>
      <c r="C107" s="40"/>
      <c r="D107" s="40"/>
    </row>
    <row r="108" spans="1:4" ht="13.8" thickBot="1" x14ac:dyDescent="0.3">
      <c r="A108" s="37" t="s">
        <v>40</v>
      </c>
      <c r="B108" s="38">
        <f>+C108+D108</f>
        <v>3201</v>
      </c>
      <c r="C108" s="39">
        <f>SUM(C109:C114)</f>
        <v>1458</v>
      </c>
      <c r="D108" s="39">
        <f>SUM(D109:D114)</f>
        <v>1743</v>
      </c>
    </row>
    <row r="109" spans="1:4" x14ac:dyDescent="0.25">
      <c r="A109" s="41" t="s">
        <v>41</v>
      </c>
      <c r="B109" s="42">
        <f t="shared" ref="B109:B114" si="10">+C109+D109</f>
        <v>320</v>
      </c>
      <c r="C109" s="43">
        <v>144</v>
      </c>
      <c r="D109" s="43">
        <v>176</v>
      </c>
    </row>
    <row r="110" spans="1:4" x14ac:dyDescent="0.25">
      <c r="A110" s="41" t="s">
        <v>42</v>
      </c>
      <c r="B110" s="42">
        <f t="shared" si="10"/>
        <v>277</v>
      </c>
      <c r="C110" s="45">
        <v>129</v>
      </c>
      <c r="D110" s="45">
        <v>148</v>
      </c>
    </row>
    <row r="111" spans="1:4" x14ac:dyDescent="0.25">
      <c r="A111" s="41" t="s">
        <v>43</v>
      </c>
      <c r="B111" s="42">
        <f t="shared" si="10"/>
        <v>312</v>
      </c>
      <c r="C111" s="45">
        <v>129</v>
      </c>
      <c r="D111" s="45">
        <v>183</v>
      </c>
    </row>
    <row r="112" spans="1:4" x14ac:dyDescent="0.25">
      <c r="A112" s="41" t="s">
        <v>44</v>
      </c>
      <c r="B112" s="42">
        <f t="shared" si="10"/>
        <v>299</v>
      </c>
      <c r="C112" s="45">
        <v>153</v>
      </c>
      <c r="D112" s="45">
        <v>146</v>
      </c>
    </row>
    <row r="113" spans="1:4" x14ac:dyDescent="0.25">
      <c r="A113" s="41" t="s">
        <v>45</v>
      </c>
      <c r="B113" s="42">
        <f t="shared" si="10"/>
        <v>304</v>
      </c>
      <c r="C113" s="45">
        <v>140</v>
      </c>
      <c r="D113" s="45">
        <v>164</v>
      </c>
    </row>
    <row r="114" spans="1:4" x14ac:dyDescent="0.25">
      <c r="A114" s="44" t="s">
        <v>46</v>
      </c>
      <c r="B114" s="42">
        <f t="shared" si="10"/>
        <v>1689</v>
      </c>
      <c r="C114" s="45">
        <v>763</v>
      </c>
      <c r="D114" s="45">
        <v>926</v>
      </c>
    </row>
    <row r="115" spans="1:4" ht="13.8" thickBot="1" x14ac:dyDescent="0.3">
      <c r="A115" s="47"/>
      <c r="B115" s="30"/>
      <c r="C115" s="40"/>
      <c r="D115" s="40"/>
    </row>
    <row r="116" spans="1:4" ht="13.8" thickBot="1" x14ac:dyDescent="0.3">
      <c r="A116" s="37" t="s">
        <v>47</v>
      </c>
      <c r="B116" s="38">
        <f>+C116+D116</f>
        <v>17387</v>
      </c>
      <c r="C116" s="39">
        <f>SUM(C117:C129)</f>
        <v>8323</v>
      </c>
      <c r="D116" s="39">
        <f>SUM(D117:D129)</f>
        <v>9064</v>
      </c>
    </row>
    <row r="117" spans="1:4" x14ac:dyDescent="0.25">
      <c r="A117" s="48" t="s">
        <v>21</v>
      </c>
      <c r="B117" s="42">
        <f t="shared" ref="B117:B129" si="11">+C117+D117</f>
        <v>1746</v>
      </c>
      <c r="C117" s="43">
        <v>831</v>
      </c>
      <c r="D117" s="43">
        <v>915</v>
      </c>
    </row>
    <row r="118" spans="1:4" x14ac:dyDescent="0.25">
      <c r="A118" s="48" t="s">
        <v>48</v>
      </c>
      <c r="B118" s="42">
        <f t="shared" si="11"/>
        <v>1632</v>
      </c>
      <c r="C118" s="45">
        <v>782</v>
      </c>
      <c r="D118" s="45">
        <v>850</v>
      </c>
    </row>
    <row r="119" spans="1:4" x14ac:dyDescent="0.25">
      <c r="A119" s="48" t="s">
        <v>49</v>
      </c>
      <c r="B119" s="42">
        <f t="shared" si="11"/>
        <v>1348</v>
      </c>
      <c r="C119" s="45">
        <v>626</v>
      </c>
      <c r="D119" s="45">
        <v>722</v>
      </c>
    </row>
    <row r="120" spans="1:4" x14ac:dyDescent="0.25">
      <c r="A120" s="48" t="s">
        <v>50</v>
      </c>
      <c r="B120" s="42">
        <f t="shared" si="11"/>
        <v>1303</v>
      </c>
      <c r="C120" s="45">
        <v>585</v>
      </c>
      <c r="D120" s="45">
        <v>718</v>
      </c>
    </row>
    <row r="121" spans="1:4" x14ac:dyDescent="0.25">
      <c r="A121" s="48" t="s">
        <v>51</v>
      </c>
      <c r="B121" s="42">
        <f t="shared" si="11"/>
        <v>1248</v>
      </c>
      <c r="C121" s="45">
        <v>585</v>
      </c>
      <c r="D121" s="45">
        <v>663</v>
      </c>
    </row>
    <row r="122" spans="1:4" x14ac:dyDescent="0.25">
      <c r="A122" s="48" t="s">
        <v>52</v>
      </c>
      <c r="B122" s="42">
        <f t="shared" si="11"/>
        <v>1325</v>
      </c>
      <c r="C122" s="45">
        <v>636</v>
      </c>
      <c r="D122" s="45">
        <v>689</v>
      </c>
    </row>
    <row r="123" spans="1:4" x14ac:dyDescent="0.25">
      <c r="A123" s="48" t="s">
        <v>53</v>
      </c>
      <c r="B123" s="42">
        <f t="shared" si="11"/>
        <v>1472</v>
      </c>
      <c r="C123" s="45">
        <v>683</v>
      </c>
      <c r="D123" s="45">
        <v>789</v>
      </c>
    </row>
    <row r="124" spans="1:4" x14ac:dyDescent="0.25">
      <c r="A124" s="48" t="s">
        <v>54</v>
      </c>
      <c r="B124" s="42">
        <f t="shared" si="11"/>
        <v>1551</v>
      </c>
      <c r="C124" s="45">
        <v>691</v>
      </c>
      <c r="D124" s="45">
        <v>860</v>
      </c>
    </row>
    <row r="125" spans="1:4" x14ac:dyDescent="0.25">
      <c r="A125" s="48" t="s">
        <v>55</v>
      </c>
      <c r="B125" s="42">
        <f t="shared" si="11"/>
        <v>1322</v>
      </c>
      <c r="C125" s="45">
        <v>599</v>
      </c>
      <c r="D125" s="45">
        <v>723</v>
      </c>
    </row>
    <row r="126" spans="1:4" x14ac:dyDescent="0.25">
      <c r="A126" s="49" t="s">
        <v>56</v>
      </c>
      <c r="B126" s="42">
        <f t="shared" si="11"/>
        <v>1184</v>
      </c>
      <c r="C126" s="45">
        <v>553</v>
      </c>
      <c r="D126" s="45">
        <v>631</v>
      </c>
    </row>
    <row r="127" spans="1:4" x14ac:dyDescent="0.25">
      <c r="A127" s="48" t="s">
        <v>57</v>
      </c>
      <c r="B127" s="42">
        <f t="shared" si="11"/>
        <v>1098</v>
      </c>
      <c r="C127" s="45">
        <v>562</v>
      </c>
      <c r="D127" s="45">
        <v>536</v>
      </c>
    </row>
    <row r="128" spans="1:4" x14ac:dyDescent="0.25">
      <c r="A128" s="48" t="s">
        <v>58</v>
      </c>
      <c r="B128" s="42">
        <f t="shared" si="11"/>
        <v>801</v>
      </c>
      <c r="C128" s="45">
        <v>408</v>
      </c>
      <c r="D128" s="45">
        <v>393</v>
      </c>
    </row>
    <row r="129" spans="1:4" x14ac:dyDescent="0.25">
      <c r="A129" s="48" t="s">
        <v>59</v>
      </c>
      <c r="B129" s="42">
        <f t="shared" si="11"/>
        <v>1357</v>
      </c>
      <c r="C129" s="45">
        <v>782</v>
      </c>
      <c r="D129" s="45">
        <v>575</v>
      </c>
    </row>
    <row r="132" spans="1:4" ht="15" x14ac:dyDescent="0.4">
      <c r="A132" s="61" t="s">
        <v>77</v>
      </c>
    </row>
    <row r="133" spans="1:4" x14ac:dyDescent="0.25">
      <c r="B133" s="59" t="s">
        <v>26</v>
      </c>
      <c r="C133" s="59" t="s">
        <v>4</v>
      </c>
      <c r="D133" s="59" t="s">
        <v>15</v>
      </c>
    </row>
    <row r="134" spans="1:4" ht="15.6" x14ac:dyDescent="0.3">
      <c r="A134" s="62" t="s">
        <v>78</v>
      </c>
      <c r="B134" s="63">
        <f>+C134+D134</f>
        <v>44673</v>
      </c>
      <c r="C134" s="60">
        <v>20470</v>
      </c>
      <c r="D134" s="60">
        <v>24203</v>
      </c>
    </row>
    <row r="135" spans="1:4" ht="15.6" x14ac:dyDescent="0.3">
      <c r="A135" s="62" t="s">
        <v>79</v>
      </c>
      <c r="B135" s="63">
        <f t="shared" ref="B135:B145" si="12">+C135+D135</f>
        <v>30245</v>
      </c>
      <c r="C135" s="60">
        <v>13667</v>
      </c>
      <c r="D135" s="60">
        <v>16578</v>
      </c>
    </row>
    <row r="136" spans="1:4" ht="15.6" x14ac:dyDescent="0.3">
      <c r="A136" s="62" t="s">
        <v>80</v>
      </c>
      <c r="B136" s="63">
        <f t="shared" si="12"/>
        <v>11006</v>
      </c>
      <c r="C136" s="60">
        <v>5247</v>
      </c>
      <c r="D136" s="60">
        <v>5759</v>
      </c>
    </row>
    <row r="137" spans="1:4" ht="15.6" x14ac:dyDescent="0.3">
      <c r="A137" s="62" t="s">
        <v>81</v>
      </c>
      <c r="B137" s="63">
        <f t="shared" si="12"/>
        <v>1512</v>
      </c>
      <c r="C137" s="60">
        <v>683</v>
      </c>
      <c r="D137" s="60">
        <v>829</v>
      </c>
    </row>
    <row r="138" spans="1:4" ht="15.6" x14ac:dyDescent="0.3">
      <c r="A138" s="62" t="s">
        <v>82</v>
      </c>
      <c r="B138" s="63">
        <f t="shared" si="12"/>
        <v>6049</v>
      </c>
      <c r="C138" s="60">
        <v>2733</v>
      </c>
      <c r="D138" s="60">
        <v>3316</v>
      </c>
    </row>
    <row r="139" spans="1:4" ht="15.6" x14ac:dyDescent="0.3">
      <c r="A139" s="62" t="s">
        <v>83</v>
      </c>
      <c r="B139" s="63">
        <f t="shared" si="12"/>
        <v>41251</v>
      </c>
      <c r="C139" s="60">
        <v>18914</v>
      </c>
      <c r="D139" s="60">
        <v>22337</v>
      </c>
    </row>
    <row r="140" spans="1:4" ht="15.6" x14ac:dyDescent="0.3">
      <c r="A140" s="62" t="s">
        <v>84</v>
      </c>
      <c r="B140" s="63">
        <f t="shared" si="12"/>
        <v>25597</v>
      </c>
      <c r="C140" s="60">
        <v>11384</v>
      </c>
      <c r="D140" s="60">
        <v>14213</v>
      </c>
    </row>
    <row r="141" spans="1:4" ht="15.6" x14ac:dyDescent="0.3">
      <c r="A141" s="62" t="s">
        <v>85</v>
      </c>
      <c r="B141" s="63">
        <f t="shared" si="12"/>
        <v>19076</v>
      </c>
      <c r="C141" s="60">
        <v>9086</v>
      </c>
      <c r="D141" s="60">
        <v>9990</v>
      </c>
    </row>
    <row r="142" spans="1:4" ht="15.6" x14ac:dyDescent="0.3">
      <c r="A142" s="62" t="s">
        <v>86</v>
      </c>
      <c r="B142" s="63">
        <f t="shared" si="12"/>
        <v>1228</v>
      </c>
      <c r="C142" s="60">
        <v>546</v>
      </c>
      <c r="D142" s="60">
        <v>682</v>
      </c>
    </row>
    <row r="143" spans="1:4" ht="15.6" x14ac:dyDescent="0.3">
      <c r="A143" s="62" t="s">
        <v>87</v>
      </c>
      <c r="B143" s="63">
        <f t="shared" si="12"/>
        <v>286</v>
      </c>
      <c r="C143" s="60">
        <v>136</v>
      </c>
      <c r="D143" s="60">
        <v>150</v>
      </c>
    </row>
    <row r="144" spans="1:4" ht="15.6" x14ac:dyDescent="0.3">
      <c r="A144" s="62" t="s">
        <v>88</v>
      </c>
      <c r="B144" s="63">
        <f t="shared" si="12"/>
        <v>1536</v>
      </c>
      <c r="C144" s="60">
        <v>683</v>
      </c>
      <c r="D144" s="60">
        <v>853</v>
      </c>
    </row>
    <row r="145" spans="1:4" ht="15.6" x14ac:dyDescent="0.3">
      <c r="A145" s="62" t="s">
        <v>89</v>
      </c>
      <c r="B145" s="63">
        <f t="shared" si="12"/>
        <v>573</v>
      </c>
      <c r="C145" s="60">
        <v>273</v>
      </c>
      <c r="D145" s="60">
        <v>300</v>
      </c>
    </row>
  </sheetData>
  <mergeCells count="5">
    <mergeCell ref="A1:D1"/>
    <mergeCell ref="A3:D3"/>
    <mergeCell ref="C4:D4"/>
    <mergeCell ref="A48:D48"/>
    <mergeCell ref="A91:D9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selection sqref="A1:E1"/>
    </sheetView>
  </sheetViews>
  <sheetFormatPr baseColWidth="10" defaultRowHeight="13.2" x14ac:dyDescent="0.25"/>
  <cols>
    <col min="1" max="1" width="34.109375" customWidth="1"/>
    <col min="2" max="2" width="17.33203125" customWidth="1"/>
    <col min="3" max="4" width="23.88671875" customWidth="1"/>
    <col min="5" max="5" width="16.6640625" customWidth="1"/>
  </cols>
  <sheetData>
    <row r="1" spans="1:7" ht="22.8" x14ac:dyDescent="0.25">
      <c r="A1" s="79" t="s">
        <v>100</v>
      </c>
      <c r="B1" s="80"/>
      <c r="C1" s="80"/>
      <c r="D1" s="80"/>
      <c r="E1" s="80"/>
    </row>
    <row r="2" spans="1:7" x14ac:dyDescent="0.25">
      <c r="A2" s="30"/>
      <c r="B2" s="31"/>
      <c r="C2" s="31"/>
      <c r="D2" s="31"/>
      <c r="E2" s="31"/>
    </row>
    <row r="3" spans="1:7" ht="18" thickBot="1" x14ac:dyDescent="0.35">
      <c r="A3" s="85" t="s">
        <v>101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3.8" thickBot="1" x14ac:dyDescent="0.3">
      <c r="A6" s="37" t="s">
        <v>27</v>
      </c>
      <c r="B6" s="38">
        <f>+C6+D6+E6</f>
        <v>57918</v>
      </c>
      <c r="C6" s="39">
        <f>+C10+C22+C30</f>
        <v>699</v>
      </c>
      <c r="D6" s="39">
        <f>+D10+D22+D30</f>
        <v>26221</v>
      </c>
      <c r="E6" s="39">
        <f>+E10+E22+E30</f>
        <v>30998</v>
      </c>
    </row>
    <row r="7" spans="1:7" ht="13.8" thickBot="1" x14ac:dyDescent="0.3">
      <c r="A7" s="41" t="s">
        <v>29</v>
      </c>
      <c r="B7" s="71">
        <f>+C7+D7+E7</f>
        <v>265</v>
      </c>
      <c r="C7" s="43"/>
      <c r="D7" s="43">
        <v>201</v>
      </c>
      <c r="E7" s="43">
        <v>64</v>
      </c>
      <c r="G7" s="69">
        <f>+B6+B7</f>
        <v>58183</v>
      </c>
    </row>
    <row r="8" spans="1:7" ht="14.4" thickBot="1" x14ac:dyDescent="0.3">
      <c r="A8" s="46"/>
      <c r="B8" s="72">
        <f>+B6+B7</f>
        <v>58183</v>
      </c>
      <c r="C8" s="70"/>
      <c r="D8" s="70"/>
      <c r="E8" s="70"/>
      <c r="G8" s="69"/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6594</v>
      </c>
      <c r="C10" s="66">
        <f>SUM(C11:C20)</f>
        <v>123</v>
      </c>
      <c r="D10" s="67">
        <f>SUM(D11:D20)</f>
        <v>2851</v>
      </c>
      <c r="E10" s="68">
        <f>SUM(E11:E20)</f>
        <v>3620</v>
      </c>
    </row>
    <row r="11" spans="1:7" x14ac:dyDescent="0.25">
      <c r="A11" s="44" t="s">
        <v>30</v>
      </c>
      <c r="B11" s="65">
        <f>+C11+D11+E11</f>
        <v>563</v>
      </c>
      <c r="C11" s="43">
        <f>+C55+C98</f>
        <v>19</v>
      </c>
      <c r="D11" s="43">
        <f t="shared" ref="D11:E11" si="0">+D55+D98</f>
        <v>249</v>
      </c>
      <c r="E11" s="43">
        <f t="shared" si="0"/>
        <v>295</v>
      </c>
    </row>
    <row r="12" spans="1:7" x14ac:dyDescent="0.25">
      <c r="A12" s="41" t="s">
        <v>31</v>
      </c>
      <c r="B12" s="65">
        <f t="shared" ref="B12:B20" si="1">+C12+D12+E12</f>
        <v>638</v>
      </c>
      <c r="C12" s="43">
        <f t="shared" ref="C12:E20" si="2">+C56+C99</f>
        <v>14</v>
      </c>
      <c r="D12" s="43">
        <f t="shared" si="2"/>
        <v>282</v>
      </c>
      <c r="E12" s="43">
        <f t="shared" si="2"/>
        <v>342</v>
      </c>
    </row>
    <row r="13" spans="1:7" x14ac:dyDescent="0.25">
      <c r="A13" s="44" t="s">
        <v>32</v>
      </c>
      <c r="B13" s="65">
        <f t="shared" si="1"/>
        <v>638</v>
      </c>
      <c r="C13" s="43">
        <f t="shared" si="2"/>
        <v>5</v>
      </c>
      <c r="D13" s="43">
        <f t="shared" si="2"/>
        <v>268</v>
      </c>
      <c r="E13" s="43">
        <f t="shared" si="2"/>
        <v>365</v>
      </c>
    </row>
    <row r="14" spans="1:7" x14ac:dyDescent="0.25">
      <c r="A14" s="44" t="s">
        <v>33</v>
      </c>
      <c r="B14" s="65">
        <f t="shared" si="1"/>
        <v>719</v>
      </c>
      <c r="C14" s="43">
        <f t="shared" si="2"/>
        <v>17</v>
      </c>
      <c r="D14" s="43">
        <f t="shared" si="2"/>
        <v>306</v>
      </c>
      <c r="E14" s="43">
        <f t="shared" si="2"/>
        <v>396</v>
      </c>
    </row>
    <row r="15" spans="1:7" x14ac:dyDescent="0.25">
      <c r="A15" s="44" t="s">
        <v>34</v>
      </c>
      <c r="B15" s="65">
        <f t="shared" si="1"/>
        <v>767</v>
      </c>
      <c r="C15" s="43">
        <f t="shared" si="2"/>
        <v>13</v>
      </c>
      <c r="D15" s="43">
        <f t="shared" si="2"/>
        <v>319</v>
      </c>
      <c r="E15" s="43">
        <f t="shared" si="2"/>
        <v>435</v>
      </c>
    </row>
    <row r="16" spans="1:7" x14ac:dyDescent="0.25">
      <c r="A16" s="44" t="s">
        <v>35</v>
      </c>
      <c r="B16" s="65">
        <f t="shared" si="1"/>
        <v>628</v>
      </c>
      <c r="C16" s="43">
        <f t="shared" si="2"/>
        <v>10</v>
      </c>
      <c r="D16" s="43">
        <f t="shared" si="2"/>
        <v>289</v>
      </c>
      <c r="E16" s="43">
        <f t="shared" si="2"/>
        <v>329</v>
      </c>
    </row>
    <row r="17" spans="1:7" x14ac:dyDescent="0.25">
      <c r="A17" s="44" t="s">
        <v>36</v>
      </c>
      <c r="B17" s="65">
        <f t="shared" si="1"/>
        <v>647</v>
      </c>
      <c r="C17" s="43">
        <f t="shared" si="2"/>
        <v>11</v>
      </c>
      <c r="D17" s="43">
        <f t="shared" si="2"/>
        <v>274</v>
      </c>
      <c r="E17" s="43">
        <f t="shared" si="2"/>
        <v>362</v>
      </c>
    </row>
    <row r="18" spans="1:7" x14ac:dyDescent="0.25">
      <c r="A18" s="44" t="s">
        <v>37</v>
      </c>
      <c r="B18" s="65">
        <f t="shared" si="1"/>
        <v>628</v>
      </c>
      <c r="C18" s="43">
        <f t="shared" si="2"/>
        <v>8</v>
      </c>
      <c r="D18" s="43">
        <f t="shared" si="2"/>
        <v>278</v>
      </c>
      <c r="E18" s="43">
        <f t="shared" si="2"/>
        <v>342</v>
      </c>
    </row>
    <row r="19" spans="1:7" x14ac:dyDescent="0.25">
      <c r="A19" s="44" t="s">
        <v>38</v>
      </c>
      <c r="B19" s="65">
        <f t="shared" si="1"/>
        <v>669</v>
      </c>
      <c r="C19" s="43">
        <f t="shared" si="2"/>
        <v>11</v>
      </c>
      <c r="D19" s="43">
        <f t="shared" si="2"/>
        <v>306</v>
      </c>
      <c r="E19" s="43">
        <f t="shared" si="2"/>
        <v>352</v>
      </c>
    </row>
    <row r="20" spans="1:7" x14ac:dyDescent="0.25">
      <c r="A20" s="44" t="s">
        <v>39</v>
      </c>
      <c r="B20" s="65">
        <f t="shared" si="1"/>
        <v>697</v>
      </c>
      <c r="C20" s="43">
        <f t="shared" si="2"/>
        <v>15</v>
      </c>
      <c r="D20" s="43">
        <f t="shared" si="2"/>
        <v>280</v>
      </c>
      <c r="E20" s="43">
        <f t="shared" si="2"/>
        <v>402</v>
      </c>
      <c r="G20" s="69">
        <f>SUM(B11:B20)</f>
        <v>6594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6782</v>
      </c>
      <c r="C22" s="39">
        <f>SUM(C23:C28)</f>
        <v>86</v>
      </c>
      <c r="D22" s="39">
        <f>SUM(D23:D28)</f>
        <v>2985</v>
      </c>
      <c r="E22" s="39">
        <f>SUM(E23:E28)</f>
        <v>3711</v>
      </c>
    </row>
    <row r="23" spans="1:7" x14ac:dyDescent="0.25">
      <c r="A23" s="41" t="s">
        <v>41</v>
      </c>
      <c r="B23" s="42">
        <f>+C23+D23+E23</f>
        <v>687</v>
      </c>
      <c r="C23" s="43">
        <f>+C67+C110</f>
        <v>7</v>
      </c>
      <c r="D23" s="43">
        <f t="shared" ref="D23:E23" si="3">+D67+D110</f>
        <v>308</v>
      </c>
      <c r="E23" s="43">
        <f t="shared" si="3"/>
        <v>372</v>
      </c>
    </row>
    <row r="24" spans="1:7" x14ac:dyDescent="0.25">
      <c r="A24" s="41" t="s">
        <v>42</v>
      </c>
      <c r="B24" s="42">
        <f t="shared" ref="B24:B28" si="4">+C24+D24+E24</f>
        <v>668</v>
      </c>
      <c r="C24" s="43">
        <f t="shared" ref="C24:E24" si="5">+C68+C111</f>
        <v>7</v>
      </c>
      <c r="D24" s="43">
        <f t="shared" si="5"/>
        <v>294</v>
      </c>
      <c r="E24" s="43">
        <f t="shared" si="5"/>
        <v>367</v>
      </c>
    </row>
    <row r="25" spans="1:7" x14ac:dyDescent="0.25">
      <c r="A25" s="41" t="s">
        <v>43</v>
      </c>
      <c r="B25" s="42">
        <f t="shared" si="4"/>
        <v>663</v>
      </c>
      <c r="C25" s="43">
        <f t="shared" ref="C25:E25" si="6">+C69+C112</f>
        <v>8</v>
      </c>
      <c r="D25" s="43">
        <f t="shared" si="6"/>
        <v>281</v>
      </c>
      <c r="E25" s="43">
        <f t="shared" si="6"/>
        <v>374</v>
      </c>
    </row>
    <row r="26" spans="1:7" x14ac:dyDescent="0.25">
      <c r="A26" s="41" t="s">
        <v>44</v>
      </c>
      <c r="B26" s="42">
        <f t="shared" si="4"/>
        <v>642</v>
      </c>
      <c r="C26" s="43">
        <f t="shared" ref="C26:E26" si="7">+C70+C113</f>
        <v>4</v>
      </c>
      <c r="D26" s="43">
        <f t="shared" si="7"/>
        <v>271</v>
      </c>
      <c r="E26" s="43">
        <f t="shared" si="7"/>
        <v>367</v>
      </c>
    </row>
    <row r="27" spans="1:7" x14ac:dyDescent="0.25">
      <c r="A27" s="41" t="s">
        <v>45</v>
      </c>
      <c r="B27" s="42">
        <f t="shared" si="4"/>
        <v>646</v>
      </c>
      <c r="C27" s="43">
        <f t="shared" ref="C27:E27" si="8">+C71+C114</f>
        <v>8</v>
      </c>
      <c r="D27" s="43">
        <f t="shared" si="8"/>
        <v>289</v>
      </c>
      <c r="E27" s="43">
        <f t="shared" si="8"/>
        <v>349</v>
      </c>
    </row>
    <row r="28" spans="1:7" x14ac:dyDescent="0.25">
      <c r="A28" s="44" t="s">
        <v>46</v>
      </c>
      <c r="B28" s="42">
        <f t="shared" si="4"/>
        <v>3476</v>
      </c>
      <c r="C28" s="43">
        <f t="shared" ref="C28:E28" si="9">+C72+C115</f>
        <v>52</v>
      </c>
      <c r="D28" s="43">
        <f t="shared" si="9"/>
        <v>1542</v>
      </c>
      <c r="E28" s="43">
        <f t="shared" si="9"/>
        <v>1882</v>
      </c>
      <c r="G28" s="69">
        <f>SUM(B23:B28)</f>
        <v>6782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44542</v>
      </c>
      <c r="C30" s="39">
        <f>SUM(C31:C43)</f>
        <v>490</v>
      </c>
      <c r="D30" s="39">
        <f>SUM(D31:D43)</f>
        <v>20385</v>
      </c>
      <c r="E30" s="39">
        <f>SUM(E31:E43)</f>
        <v>23667</v>
      </c>
    </row>
    <row r="31" spans="1:7" x14ac:dyDescent="0.25">
      <c r="A31" s="48" t="s">
        <v>21</v>
      </c>
      <c r="B31" s="42">
        <f>+C31+D31+E31</f>
        <v>4187</v>
      </c>
      <c r="C31" s="43">
        <f>+C75+C118</f>
        <v>40</v>
      </c>
      <c r="D31" s="43">
        <f t="shared" ref="D31:E31" si="10">+D75+D118</f>
        <v>1958</v>
      </c>
      <c r="E31" s="43">
        <f t="shared" si="10"/>
        <v>2189</v>
      </c>
    </row>
    <row r="32" spans="1:7" x14ac:dyDescent="0.25">
      <c r="A32" s="48" t="s">
        <v>48</v>
      </c>
      <c r="B32" s="42">
        <f t="shared" ref="B32:B43" si="11">+C32+D32+E32</f>
        <v>4244</v>
      </c>
      <c r="C32" s="43">
        <f t="shared" ref="C32:E43" si="12">+C76+C119</f>
        <v>53</v>
      </c>
      <c r="D32" s="43">
        <f t="shared" si="12"/>
        <v>1986</v>
      </c>
      <c r="E32" s="43">
        <f t="shared" si="12"/>
        <v>2205</v>
      </c>
    </row>
    <row r="33" spans="1:7" x14ac:dyDescent="0.25">
      <c r="A33" s="48" t="s">
        <v>49</v>
      </c>
      <c r="B33" s="42">
        <f t="shared" si="11"/>
        <v>3905</v>
      </c>
      <c r="C33" s="43">
        <f t="shared" si="12"/>
        <v>57</v>
      </c>
      <c r="D33" s="43">
        <f t="shared" si="12"/>
        <v>1734</v>
      </c>
      <c r="E33" s="43">
        <f t="shared" si="12"/>
        <v>2114</v>
      </c>
    </row>
    <row r="34" spans="1:7" x14ac:dyDescent="0.25">
      <c r="A34" s="48" t="s">
        <v>50</v>
      </c>
      <c r="B34" s="42">
        <f t="shared" si="11"/>
        <v>3566</v>
      </c>
      <c r="C34" s="43">
        <f t="shared" si="12"/>
        <v>42</v>
      </c>
      <c r="D34" s="43">
        <f t="shared" si="12"/>
        <v>1618</v>
      </c>
      <c r="E34" s="43">
        <f t="shared" si="12"/>
        <v>1906</v>
      </c>
    </row>
    <row r="35" spans="1:7" x14ac:dyDescent="0.25">
      <c r="A35" s="48" t="s">
        <v>51</v>
      </c>
      <c r="B35" s="42">
        <f t="shared" si="11"/>
        <v>3129</v>
      </c>
      <c r="C35" s="43">
        <f t="shared" si="12"/>
        <v>33</v>
      </c>
      <c r="D35" s="43">
        <f t="shared" si="12"/>
        <v>1398</v>
      </c>
      <c r="E35" s="43">
        <f t="shared" si="12"/>
        <v>1698</v>
      </c>
    </row>
    <row r="36" spans="1:7" x14ac:dyDescent="0.25">
      <c r="A36" s="48" t="s">
        <v>52</v>
      </c>
      <c r="B36" s="42">
        <f t="shared" si="11"/>
        <v>3383</v>
      </c>
      <c r="C36" s="43">
        <f t="shared" si="12"/>
        <v>35</v>
      </c>
      <c r="D36" s="43">
        <f t="shared" si="12"/>
        <v>1577</v>
      </c>
      <c r="E36" s="43">
        <f t="shared" si="12"/>
        <v>1771</v>
      </c>
    </row>
    <row r="37" spans="1:7" x14ac:dyDescent="0.25">
      <c r="A37" s="48" t="s">
        <v>53</v>
      </c>
      <c r="B37" s="42">
        <f t="shared" si="11"/>
        <v>3542</v>
      </c>
      <c r="C37" s="43">
        <f t="shared" si="12"/>
        <v>41</v>
      </c>
      <c r="D37" s="43">
        <f t="shared" si="12"/>
        <v>1619</v>
      </c>
      <c r="E37" s="43">
        <f t="shared" si="12"/>
        <v>1882</v>
      </c>
    </row>
    <row r="38" spans="1:7" x14ac:dyDescent="0.25">
      <c r="A38" s="48" t="s">
        <v>54</v>
      </c>
      <c r="B38" s="42">
        <f t="shared" si="11"/>
        <v>3846</v>
      </c>
      <c r="C38" s="43">
        <f t="shared" si="12"/>
        <v>46</v>
      </c>
      <c r="D38" s="43">
        <f t="shared" si="12"/>
        <v>1699</v>
      </c>
      <c r="E38" s="43">
        <f t="shared" si="12"/>
        <v>2101</v>
      </c>
    </row>
    <row r="39" spans="1:7" x14ac:dyDescent="0.25">
      <c r="A39" s="48" t="s">
        <v>55</v>
      </c>
      <c r="B39" s="42">
        <f t="shared" si="11"/>
        <v>3341</v>
      </c>
      <c r="C39" s="43">
        <f t="shared" si="12"/>
        <v>27</v>
      </c>
      <c r="D39" s="43">
        <f t="shared" si="12"/>
        <v>1460</v>
      </c>
      <c r="E39" s="43">
        <f t="shared" si="12"/>
        <v>1854</v>
      </c>
    </row>
    <row r="40" spans="1:7" x14ac:dyDescent="0.25">
      <c r="A40" s="49" t="s">
        <v>56</v>
      </c>
      <c r="B40" s="42">
        <f t="shared" si="11"/>
        <v>2895</v>
      </c>
      <c r="C40" s="43">
        <f t="shared" si="12"/>
        <v>40</v>
      </c>
      <c r="D40" s="43">
        <f t="shared" si="12"/>
        <v>1271</v>
      </c>
      <c r="E40" s="43">
        <f t="shared" si="12"/>
        <v>1584</v>
      </c>
    </row>
    <row r="41" spans="1:7" x14ac:dyDescent="0.25">
      <c r="A41" s="48" t="s">
        <v>57</v>
      </c>
      <c r="B41" s="42">
        <f t="shared" si="11"/>
        <v>2632</v>
      </c>
      <c r="C41" s="43">
        <f t="shared" si="12"/>
        <v>26</v>
      </c>
      <c r="D41" s="43">
        <f t="shared" si="12"/>
        <v>1245</v>
      </c>
      <c r="E41" s="43">
        <f t="shared" si="12"/>
        <v>1361</v>
      </c>
    </row>
    <row r="42" spans="1:7" x14ac:dyDescent="0.25">
      <c r="A42" s="48" t="s">
        <v>58</v>
      </c>
      <c r="B42" s="42">
        <f t="shared" si="11"/>
        <v>2182</v>
      </c>
      <c r="C42" s="43">
        <f t="shared" si="12"/>
        <v>22</v>
      </c>
      <c r="D42" s="43">
        <f t="shared" si="12"/>
        <v>987</v>
      </c>
      <c r="E42" s="43">
        <f t="shared" si="12"/>
        <v>1173</v>
      </c>
    </row>
    <row r="43" spans="1:7" x14ac:dyDescent="0.25">
      <c r="A43" s="48" t="s">
        <v>59</v>
      </c>
      <c r="B43" s="42">
        <f t="shared" si="11"/>
        <v>3690</v>
      </c>
      <c r="C43" s="43">
        <f t="shared" si="12"/>
        <v>28</v>
      </c>
      <c r="D43" s="43">
        <f t="shared" si="12"/>
        <v>1833</v>
      </c>
      <c r="E43" s="43">
        <f t="shared" si="12"/>
        <v>1829</v>
      </c>
      <c r="G43" s="69">
        <f>SUM(B31:B43)</f>
        <v>44542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57"/>
      <c r="B46" s="57"/>
      <c r="C46" s="58"/>
      <c r="D46" s="58"/>
      <c r="E46" s="58"/>
    </row>
    <row r="47" spans="1:7" x14ac:dyDescent="0.25">
      <c r="A47" s="57"/>
      <c r="B47" s="57"/>
      <c r="C47" s="58"/>
      <c r="D47" s="58"/>
      <c r="E47" s="58"/>
    </row>
    <row r="48" spans="1:7" x14ac:dyDescent="0.25">
      <c r="A48" s="30"/>
      <c r="B48" s="30"/>
      <c r="C48" s="40"/>
      <c r="D48" s="40"/>
      <c r="E48" s="40"/>
    </row>
    <row r="49" spans="1:7" ht="17.399999999999999" x14ac:dyDescent="0.3">
      <c r="A49" s="83" t="s">
        <v>99</v>
      </c>
      <c r="B49" s="84"/>
      <c r="C49" s="84"/>
      <c r="D49" s="84"/>
      <c r="E49" s="84"/>
    </row>
    <row r="50" spans="1:7" ht="13.8" thickBot="1" x14ac:dyDescent="0.3">
      <c r="A50" s="52"/>
      <c r="B50" s="30"/>
      <c r="C50" s="40"/>
      <c r="D50" s="40"/>
      <c r="E50" s="40"/>
    </row>
    <row r="51" spans="1:7" ht="13.8" thickBot="1" x14ac:dyDescent="0.3">
      <c r="A51" s="37" t="s">
        <v>61</v>
      </c>
      <c r="B51" s="38">
        <f>+C51+D51+E51</f>
        <v>32467</v>
      </c>
      <c r="C51" s="39">
        <f>+C54+C66+C74+C52</f>
        <v>422</v>
      </c>
      <c r="D51" s="39">
        <f>+D54+D66+D74+D52</f>
        <v>14339</v>
      </c>
      <c r="E51" s="39">
        <f>+E54+E66+E74</f>
        <v>17706</v>
      </c>
    </row>
    <row r="52" spans="1:7" x14ac:dyDescent="0.25">
      <c r="A52" s="44" t="s">
        <v>62</v>
      </c>
      <c r="B52" s="42">
        <f>+C52+D52+E52</f>
        <v>14</v>
      </c>
      <c r="C52" s="43"/>
      <c r="D52" s="43">
        <v>11</v>
      </c>
      <c r="E52" s="43">
        <v>3</v>
      </c>
      <c r="G52" s="69">
        <f>+B51+B52</f>
        <v>32481</v>
      </c>
    </row>
    <row r="53" spans="1:7" ht="13.8" thickBot="1" x14ac:dyDescent="0.3">
      <c r="A53" s="30"/>
      <c r="B53" s="30"/>
      <c r="C53" s="40"/>
      <c r="D53" s="40"/>
      <c r="E53" s="40"/>
    </row>
    <row r="54" spans="1:7" ht="13.8" thickBot="1" x14ac:dyDescent="0.3">
      <c r="A54" s="37" t="s">
        <v>28</v>
      </c>
      <c r="B54" s="38">
        <f>+C54+D54+E54</f>
        <v>3218</v>
      </c>
      <c r="C54" s="39">
        <f>SUM(C55:C64)</f>
        <v>69</v>
      </c>
      <c r="D54" s="39">
        <f>SUM(D55:D64)</f>
        <v>1398</v>
      </c>
      <c r="E54" s="39">
        <f>SUM(E55:E64)</f>
        <v>1751</v>
      </c>
    </row>
    <row r="55" spans="1:7" x14ac:dyDescent="0.25">
      <c r="A55" s="44" t="s">
        <v>30</v>
      </c>
      <c r="B55" s="42">
        <f>+C55+D55+E55</f>
        <v>267</v>
      </c>
      <c r="C55" s="45">
        <v>12</v>
      </c>
      <c r="D55" s="45">
        <v>117</v>
      </c>
      <c r="E55" s="45">
        <v>138</v>
      </c>
    </row>
    <row r="56" spans="1:7" x14ac:dyDescent="0.25">
      <c r="A56" s="41" t="s">
        <v>31</v>
      </c>
      <c r="B56" s="42">
        <f t="shared" ref="B56:B64" si="13">+C56+D56+E56</f>
        <v>326</v>
      </c>
      <c r="C56" s="45">
        <v>8</v>
      </c>
      <c r="D56" s="45">
        <v>150</v>
      </c>
      <c r="E56" s="45">
        <v>168</v>
      </c>
    </row>
    <row r="57" spans="1:7" x14ac:dyDescent="0.25">
      <c r="A57" s="44" t="s">
        <v>32</v>
      </c>
      <c r="B57" s="42">
        <f t="shared" si="13"/>
        <v>283</v>
      </c>
      <c r="C57" s="45">
        <v>3</v>
      </c>
      <c r="D57" s="45">
        <v>115</v>
      </c>
      <c r="E57" s="45">
        <v>165</v>
      </c>
    </row>
    <row r="58" spans="1:7" x14ac:dyDescent="0.25">
      <c r="A58" s="44" t="s">
        <v>33</v>
      </c>
      <c r="B58" s="42">
        <f t="shared" si="13"/>
        <v>348</v>
      </c>
      <c r="C58" s="45">
        <v>10</v>
      </c>
      <c r="D58" s="45">
        <v>154</v>
      </c>
      <c r="E58" s="45">
        <v>184</v>
      </c>
    </row>
    <row r="59" spans="1:7" x14ac:dyDescent="0.25">
      <c r="A59" s="44" t="s">
        <v>34</v>
      </c>
      <c r="B59" s="42">
        <f t="shared" si="13"/>
        <v>394</v>
      </c>
      <c r="C59" s="45">
        <v>4</v>
      </c>
      <c r="D59" s="45">
        <v>177</v>
      </c>
      <c r="E59" s="45">
        <v>213</v>
      </c>
    </row>
    <row r="60" spans="1:7" x14ac:dyDescent="0.25">
      <c r="A60" s="44" t="s">
        <v>35</v>
      </c>
      <c r="B60" s="42">
        <f t="shared" si="13"/>
        <v>325</v>
      </c>
      <c r="C60" s="45">
        <v>6</v>
      </c>
      <c r="D60" s="45">
        <v>152</v>
      </c>
      <c r="E60" s="45">
        <v>167</v>
      </c>
    </row>
    <row r="61" spans="1:7" x14ac:dyDescent="0.25">
      <c r="A61" s="44" t="s">
        <v>36</v>
      </c>
      <c r="B61" s="42">
        <f t="shared" si="13"/>
        <v>303</v>
      </c>
      <c r="C61" s="45">
        <v>8</v>
      </c>
      <c r="D61" s="45">
        <v>132</v>
      </c>
      <c r="E61" s="45">
        <v>163</v>
      </c>
    </row>
    <row r="62" spans="1:7" x14ac:dyDescent="0.25">
      <c r="A62" s="44" t="s">
        <v>37</v>
      </c>
      <c r="B62" s="42">
        <f t="shared" si="13"/>
        <v>304</v>
      </c>
      <c r="C62" s="45">
        <v>6</v>
      </c>
      <c r="D62" s="45">
        <v>123</v>
      </c>
      <c r="E62" s="45">
        <v>175</v>
      </c>
    </row>
    <row r="63" spans="1:7" x14ac:dyDescent="0.25">
      <c r="A63" s="44" t="s">
        <v>38</v>
      </c>
      <c r="B63" s="42">
        <f t="shared" si="13"/>
        <v>324</v>
      </c>
      <c r="C63" s="45">
        <v>6</v>
      </c>
      <c r="D63" s="45">
        <v>140</v>
      </c>
      <c r="E63" s="45">
        <v>178</v>
      </c>
    </row>
    <row r="64" spans="1:7" x14ac:dyDescent="0.25">
      <c r="A64" s="44" t="s">
        <v>39</v>
      </c>
      <c r="B64" s="42">
        <f t="shared" si="13"/>
        <v>344</v>
      </c>
      <c r="C64" s="45">
        <v>6</v>
      </c>
      <c r="D64" s="45">
        <v>138</v>
      </c>
      <c r="E64" s="45">
        <v>200</v>
      </c>
      <c r="G64" s="69">
        <f>SUM(B55:B64)</f>
        <v>3218</v>
      </c>
    </row>
    <row r="65" spans="1:7" ht="13.8" thickBot="1" x14ac:dyDescent="0.3">
      <c r="A65" s="46"/>
      <c r="B65" s="30"/>
      <c r="C65" s="40"/>
      <c r="D65" s="40"/>
      <c r="E65" s="40"/>
    </row>
    <row r="66" spans="1:7" ht="13.8" thickBot="1" x14ac:dyDescent="0.3">
      <c r="A66" s="37" t="s">
        <v>40</v>
      </c>
      <c r="B66" s="38">
        <f>+C66+D66+E66</f>
        <v>3448</v>
      </c>
      <c r="C66" s="39">
        <f>SUM(C67:C72)</f>
        <v>44</v>
      </c>
      <c r="D66" s="39">
        <f>SUM(D67:D72)</f>
        <v>1473</v>
      </c>
      <c r="E66" s="39">
        <f>SUM(E67:E72)</f>
        <v>1931</v>
      </c>
    </row>
    <row r="67" spans="1:7" x14ac:dyDescent="0.25">
      <c r="A67" s="41" t="s">
        <v>41</v>
      </c>
      <c r="B67" s="42">
        <f>+C67+D67+E67</f>
        <v>329</v>
      </c>
      <c r="C67" s="43">
        <v>3</v>
      </c>
      <c r="D67" s="43">
        <v>149</v>
      </c>
      <c r="E67" s="43">
        <v>177</v>
      </c>
    </row>
    <row r="68" spans="1:7" x14ac:dyDescent="0.25">
      <c r="A68" s="41" t="s">
        <v>42</v>
      </c>
      <c r="B68" s="42">
        <f t="shared" ref="B68:B72" si="14">+C68+D68+E68</f>
        <v>338</v>
      </c>
      <c r="C68" s="45">
        <v>6</v>
      </c>
      <c r="D68" s="45">
        <v>147</v>
      </c>
      <c r="E68" s="45">
        <v>185</v>
      </c>
    </row>
    <row r="69" spans="1:7" x14ac:dyDescent="0.25">
      <c r="A69" s="41" t="s">
        <v>43</v>
      </c>
      <c r="B69" s="42">
        <f t="shared" si="14"/>
        <v>355</v>
      </c>
      <c r="C69" s="45">
        <v>0</v>
      </c>
      <c r="D69" s="45">
        <v>136</v>
      </c>
      <c r="E69" s="45">
        <v>219</v>
      </c>
    </row>
    <row r="70" spans="1:7" x14ac:dyDescent="0.25">
      <c r="A70" s="41" t="s">
        <v>44</v>
      </c>
      <c r="B70" s="42">
        <f t="shared" si="14"/>
        <v>325</v>
      </c>
      <c r="C70" s="45">
        <v>4</v>
      </c>
      <c r="D70" s="45">
        <v>127</v>
      </c>
      <c r="E70" s="45">
        <v>194</v>
      </c>
    </row>
    <row r="71" spans="1:7" x14ac:dyDescent="0.25">
      <c r="A71" s="41" t="s">
        <v>45</v>
      </c>
      <c r="B71" s="42">
        <f t="shared" si="14"/>
        <v>323</v>
      </c>
      <c r="C71" s="45">
        <v>3</v>
      </c>
      <c r="D71" s="45">
        <v>134</v>
      </c>
      <c r="E71" s="45">
        <v>186</v>
      </c>
    </row>
    <row r="72" spans="1:7" x14ac:dyDescent="0.25">
      <c r="A72" s="44" t="s">
        <v>46</v>
      </c>
      <c r="B72" s="42">
        <f t="shared" si="14"/>
        <v>1778</v>
      </c>
      <c r="C72" s="45">
        <v>28</v>
      </c>
      <c r="D72" s="45">
        <v>780</v>
      </c>
      <c r="E72" s="45">
        <v>970</v>
      </c>
      <c r="G72" s="69">
        <f>SUM(B67:B72)</f>
        <v>3448</v>
      </c>
    </row>
    <row r="73" spans="1:7" ht="13.8" thickBot="1" x14ac:dyDescent="0.3">
      <c r="A73" s="47"/>
      <c r="B73" s="30"/>
      <c r="C73" s="40"/>
      <c r="D73" s="40"/>
      <c r="E73" s="40"/>
    </row>
    <row r="74" spans="1:7" ht="13.8" thickBot="1" x14ac:dyDescent="0.3">
      <c r="A74" s="37" t="s">
        <v>47</v>
      </c>
      <c r="B74" s="38">
        <f>+C74+D74+E74</f>
        <v>25790</v>
      </c>
      <c r="C74" s="39">
        <f>SUM(C75:C87)</f>
        <v>309</v>
      </c>
      <c r="D74" s="39">
        <f>SUM(D75:D87)</f>
        <v>11457</v>
      </c>
      <c r="E74" s="39">
        <f>SUM(E75:E87)</f>
        <v>14024</v>
      </c>
    </row>
    <row r="75" spans="1:7" x14ac:dyDescent="0.25">
      <c r="A75" s="48" t="s">
        <v>21</v>
      </c>
      <c r="B75" s="42">
        <f>+C75+D75+E75</f>
        <v>2255</v>
      </c>
      <c r="C75" s="43">
        <v>26</v>
      </c>
      <c r="D75" s="43">
        <v>1044</v>
      </c>
      <c r="E75" s="43">
        <v>1185</v>
      </c>
    </row>
    <row r="76" spans="1:7" x14ac:dyDescent="0.25">
      <c r="A76" s="48" t="s">
        <v>48</v>
      </c>
      <c r="B76" s="42">
        <f t="shared" ref="B76:B87" si="15">+C76+D76+E76</f>
        <v>2427</v>
      </c>
      <c r="C76" s="45">
        <v>33</v>
      </c>
      <c r="D76" s="45">
        <v>1095</v>
      </c>
      <c r="E76" s="45">
        <v>1299</v>
      </c>
    </row>
    <row r="77" spans="1:7" x14ac:dyDescent="0.25">
      <c r="A77" s="48" t="s">
        <v>49</v>
      </c>
      <c r="B77" s="42">
        <f t="shared" si="15"/>
        <v>2281</v>
      </c>
      <c r="C77" s="45">
        <v>37</v>
      </c>
      <c r="D77" s="45">
        <v>969</v>
      </c>
      <c r="E77" s="45">
        <v>1275</v>
      </c>
    </row>
    <row r="78" spans="1:7" x14ac:dyDescent="0.25">
      <c r="A78" s="48" t="s">
        <v>50</v>
      </c>
      <c r="B78" s="42">
        <f t="shared" si="15"/>
        <v>2091</v>
      </c>
      <c r="C78" s="45">
        <v>23</v>
      </c>
      <c r="D78" s="45">
        <v>952</v>
      </c>
      <c r="E78" s="45">
        <v>1116</v>
      </c>
    </row>
    <row r="79" spans="1:7" x14ac:dyDescent="0.25">
      <c r="A79" s="48" t="s">
        <v>51</v>
      </c>
      <c r="B79" s="42">
        <f t="shared" si="15"/>
        <v>1827</v>
      </c>
      <c r="C79" s="45">
        <v>22</v>
      </c>
      <c r="D79" s="45">
        <v>800</v>
      </c>
      <c r="E79" s="45">
        <v>1005</v>
      </c>
    </row>
    <row r="80" spans="1:7" x14ac:dyDescent="0.25">
      <c r="A80" s="48" t="s">
        <v>52</v>
      </c>
      <c r="B80" s="42">
        <f t="shared" si="15"/>
        <v>1955</v>
      </c>
      <c r="C80" s="45">
        <v>22</v>
      </c>
      <c r="D80" s="45">
        <v>878</v>
      </c>
      <c r="E80" s="45">
        <v>1055</v>
      </c>
    </row>
    <row r="81" spans="1:7" x14ac:dyDescent="0.25">
      <c r="A81" s="48" t="s">
        <v>53</v>
      </c>
      <c r="B81" s="42">
        <f t="shared" si="15"/>
        <v>2044</v>
      </c>
      <c r="C81" s="45">
        <v>30</v>
      </c>
      <c r="D81" s="45">
        <v>931</v>
      </c>
      <c r="E81" s="45">
        <v>1083</v>
      </c>
    </row>
    <row r="82" spans="1:7" x14ac:dyDescent="0.25">
      <c r="A82" s="48" t="s">
        <v>54</v>
      </c>
      <c r="B82" s="42">
        <f t="shared" si="15"/>
        <v>2189</v>
      </c>
      <c r="C82" s="45">
        <v>23</v>
      </c>
      <c r="D82" s="45">
        <v>979</v>
      </c>
      <c r="E82" s="45">
        <v>1187</v>
      </c>
    </row>
    <row r="83" spans="1:7" x14ac:dyDescent="0.25">
      <c r="A83" s="48" t="s">
        <v>55</v>
      </c>
      <c r="B83" s="42">
        <f t="shared" si="15"/>
        <v>1944</v>
      </c>
      <c r="C83" s="45">
        <v>18</v>
      </c>
      <c r="D83" s="45">
        <v>816</v>
      </c>
      <c r="E83" s="45">
        <v>1110</v>
      </c>
    </row>
    <row r="84" spans="1:7" x14ac:dyDescent="0.25">
      <c r="A84" s="49" t="s">
        <v>56</v>
      </c>
      <c r="B84" s="42">
        <f t="shared" si="15"/>
        <v>1656</v>
      </c>
      <c r="C84" s="45">
        <v>22</v>
      </c>
      <c r="D84" s="45">
        <v>734</v>
      </c>
      <c r="E84" s="45">
        <v>900</v>
      </c>
    </row>
    <row r="85" spans="1:7" x14ac:dyDescent="0.25">
      <c r="A85" s="48" t="s">
        <v>57</v>
      </c>
      <c r="B85" s="42">
        <f t="shared" si="15"/>
        <v>1518</v>
      </c>
      <c r="C85" s="45">
        <v>18</v>
      </c>
      <c r="D85" s="45">
        <v>670</v>
      </c>
      <c r="E85" s="45">
        <v>830</v>
      </c>
    </row>
    <row r="86" spans="1:7" x14ac:dyDescent="0.25">
      <c r="A86" s="48" t="s">
        <v>58</v>
      </c>
      <c r="B86" s="42">
        <f t="shared" si="15"/>
        <v>1318</v>
      </c>
      <c r="C86" s="45">
        <v>14</v>
      </c>
      <c r="D86" s="45">
        <v>571</v>
      </c>
      <c r="E86" s="45">
        <v>733</v>
      </c>
    </row>
    <row r="87" spans="1:7" x14ac:dyDescent="0.25">
      <c r="A87" s="48" t="s">
        <v>59</v>
      </c>
      <c r="B87" s="42">
        <f t="shared" si="15"/>
        <v>2285</v>
      </c>
      <c r="C87" s="45">
        <v>21</v>
      </c>
      <c r="D87" s="45">
        <v>1018</v>
      </c>
      <c r="E87" s="45">
        <v>1246</v>
      </c>
      <c r="G87" s="69">
        <f>SUM(B75:B87)</f>
        <v>25790</v>
      </c>
    </row>
    <row r="89" spans="1:7" x14ac:dyDescent="0.25">
      <c r="A89" s="56"/>
      <c r="B89" s="56"/>
      <c r="C89" s="56"/>
      <c r="D89" s="56"/>
      <c r="E89" s="56"/>
    </row>
    <row r="90" spans="1:7" x14ac:dyDescent="0.25">
      <c r="A90" s="56"/>
      <c r="B90" s="56"/>
      <c r="C90" s="56"/>
      <c r="D90" s="56"/>
      <c r="E90" s="56"/>
    </row>
    <row r="92" spans="1:7" ht="17.399999999999999" x14ac:dyDescent="0.3">
      <c r="A92" s="83" t="s">
        <v>98</v>
      </c>
      <c r="B92" s="84"/>
      <c r="C92" s="84"/>
      <c r="D92" s="84"/>
      <c r="E92" s="84"/>
    </row>
    <row r="93" spans="1:7" ht="13.8" thickBot="1" x14ac:dyDescent="0.3">
      <c r="A93" s="52"/>
      <c r="B93" s="30"/>
      <c r="C93" s="40"/>
      <c r="D93" s="40"/>
      <c r="E93" s="40"/>
    </row>
    <row r="94" spans="1:7" ht="13.8" thickBot="1" x14ac:dyDescent="0.3">
      <c r="A94" s="37" t="s">
        <v>64</v>
      </c>
      <c r="B94" s="38">
        <f>+C94+D94+E94</f>
        <v>25468</v>
      </c>
      <c r="C94" s="39">
        <f>+C97+C109+C117+C95</f>
        <v>277</v>
      </c>
      <c r="D94" s="39">
        <f>+D97+D109+D117+D95</f>
        <v>11899</v>
      </c>
      <c r="E94" s="39">
        <f>+E97+E109+E117</f>
        <v>13292</v>
      </c>
    </row>
    <row r="95" spans="1:7" x14ac:dyDescent="0.25">
      <c r="A95" s="44" t="s">
        <v>62</v>
      </c>
      <c r="B95" s="42">
        <f>+C95+D95+E95</f>
        <v>12</v>
      </c>
      <c r="C95" s="43"/>
      <c r="D95" s="43">
        <v>6</v>
      </c>
      <c r="E95" s="43">
        <v>6</v>
      </c>
      <c r="G95" s="69">
        <f>+B94+B95</f>
        <v>25480</v>
      </c>
    </row>
    <row r="96" spans="1:7" ht="13.8" thickBot="1" x14ac:dyDescent="0.3">
      <c r="A96" s="30"/>
      <c r="B96" s="30"/>
      <c r="C96" s="40"/>
      <c r="D96" s="40"/>
      <c r="E96" s="40"/>
    </row>
    <row r="97" spans="1:7" ht="13.8" thickBot="1" x14ac:dyDescent="0.3">
      <c r="A97" s="37" t="s">
        <v>28</v>
      </c>
      <c r="B97" s="38">
        <f>+C97+D97+E97</f>
        <v>3376</v>
      </c>
      <c r="C97" s="39">
        <f>SUM(C98:C107)</f>
        <v>54</v>
      </c>
      <c r="D97" s="39">
        <f>SUM(D98:D107)</f>
        <v>1453</v>
      </c>
      <c r="E97" s="39">
        <f>SUM(E98:E107)</f>
        <v>1869</v>
      </c>
    </row>
    <row r="98" spans="1:7" x14ac:dyDescent="0.25">
      <c r="A98" s="44" t="s">
        <v>30</v>
      </c>
      <c r="B98" s="42">
        <f t="shared" ref="B98:B107" si="16">+C98+D98+E98</f>
        <v>296</v>
      </c>
      <c r="C98" s="45">
        <v>7</v>
      </c>
      <c r="D98" s="45">
        <v>132</v>
      </c>
      <c r="E98" s="45">
        <v>157</v>
      </c>
    </row>
    <row r="99" spans="1:7" x14ac:dyDescent="0.25">
      <c r="A99" s="41" t="s">
        <v>31</v>
      </c>
      <c r="B99" s="42">
        <f t="shared" si="16"/>
        <v>312</v>
      </c>
      <c r="C99" s="45">
        <v>6</v>
      </c>
      <c r="D99" s="45">
        <v>132</v>
      </c>
      <c r="E99" s="45">
        <v>174</v>
      </c>
    </row>
    <row r="100" spans="1:7" x14ac:dyDescent="0.25">
      <c r="A100" s="44" t="s">
        <v>32</v>
      </c>
      <c r="B100" s="42">
        <f t="shared" si="16"/>
        <v>355</v>
      </c>
      <c r="C100" s="45">
        <v>2</v>
      </c>
      <c r="D100" s="45">
        <v>153</v>
      </c>
      <c r="E100" s="45">
        <v>200</v>
      </c>
    </row>
    <row r="101" spans="1:7" x14ac:dyDescent="0.25">
      <c r="A101" s="44" t="s">
        <v>33</v>
      </c>
      <c r="B101" s="42">
        <f t="shared" si="16"/>
        <v>371</v>
      </c>
      <c r="C101" s="45">
        <v>7</v>
      </c>
      <c r="D101" s="45">
        <v>152</v>
      </c>
      <c r="E101" s="45">
        <v>212</v>
      </c>
    </row>
    <row r="102" spans="1:7" x14ac:dyDescent="0.25">
      <c r="A102" s="44" t="s">
        <v>34</v>
      </c>
      <c r="B102" s="42">
        <f t="shared" si="16"/>
        <v>373</v>
      </c>
      <c r="C102" s="45">
        <v>9</v>
      </c>
      <c r="D102" s="45">
        <v>142</v>
      </c>
      <c r="E102" s="45">
        <v>222</v>
      </c>
    </row>
    <row r="103" spans="1:7" x14ac:dyDescent="0.25">
      <c r="A103" s="44" t="s">
        <v>35</v>
      </c>
      <c r="B103" s="42">
        <f t="shared" si="16"/>
        <v>303</v>
      </c>
      <c r="C103" s="45">
        <v>4</v>
      </c>
      <c r="D103" s="45">
        <v>137</v>
      </c>
      <c r="E103" s="45">
        <v>162</v>
      </c>
    </row>
    <row r="104" spans="1:7" x14ac:dyDescent="0.25">
      <c r="A104" s="44" t="s">
        <v>36</v>
      </c>
      <c r="B104" s="42">
        <f t="shared" si="16"/>
        <v>344</v>
      </c>
      <c r="C104" s="45">
        <v>3</v>
      </c>
      <c r="D104" s="45">
        <v>142</v>
      </c>
      <c r="E104" s="45">
        <v>199</v>
      </c>
    </row>
    <row r="105" spans="1:7" x14ac:dyDescent="0.25">
      <c r="A105" s="44" t="s">
        <v>37</v>
      </c>
      <c r="B105" s="42">
        <f t="shared" si="16"/>
        <v>324</v>
      </c>
      <c r="C105" s="45">
        <v>2</v>
      </c>
      <c r="D105" s="45">
        <v>155</v>
      </c>
      <c r="E105" s="45">
        <v>167</v>
      </c>
    </row>
    <row r="106" spans="1:7" x14ac:dyDescent="0.25">
      <c r="A106" s="44" t="s">
        <v>38</v>
      </c>
      <c r="B106" s="42">
        <f t="shared" si="16"/>
        <v>345</v>
      </c>
      <c r="C106" s="45">
        <v>5</v>
      </c>
      <c r="D106" s="45">
        <v>166</v>
      </c>
      <c r="E106" s="45">
        <v>174</v>
      </c>
    </row>
    <row r="107" spans="1:7" x14ac:dyDescent="0.25">
      <c r="A107" s="44" t="s">
        <v>39</v>
      </c>
      <c r="B107" s="42">
        <f t="shared" si="16"/>
        <v>353</v>
      </c>
      <c r="C107" s="45">
        <v>9</v>
      </c>
      <c r="D107" s="45">
        <v>142</v>
      </c>
      <c r="E107" s="45">
        <v>202</v>
      </c>
      <c r="G107" s="69">
        <f>SUM(B98:B107)</f>
        <v>3376</v>
      </c>
    </row>
    <row r="108" spans="1:7" ht="13.8" thickBot="1" x14ac:dyDescent="0.3">
      <c r="A108" s="46"/>
      <c r="B108" s="30"/>
      <c r="C108" s="40"/>
      <c r="D108" s="40"/>
      <c r="E108" s="40"/>
    </row>
    <row r="109" spans="1:7" ht="13.8" thickBot="1" x14ac:dyDescent="0.3">
      <c r="A109" s="37" t="s">
        <v>40</v>
      </c>
      <c r="B109" s="38">
        <f>+C109+D109+E109</f>
        <v>3334</v>
      </c>
      <c r="C109" s="39">
        <f>SUM(C110:C115)</f>
        <v>42</v>
      </c>
      <c r="D109" s="39">
        <f t="shared" ref="D109:E109" si="17">SUM(D110:D115)</f>
        <v>1512</v>
      </c>
      <c r="E109" s="39">
        <f t="shared" si="17"/>
        <v>1780</v>
      </c>
    </row>
    <row r="110" spans="1:7" x14ac:dyDescent="0.25">
      <c r="A110" s="41" t="s">
        <v>41</v>
      </c>
      <c r="B110" s="42">
        <f t="shared" ref="B110:B115" si="18">+C110+D110+E110</f>
        <v>358</v>
      </c>
      <c r="C110" s="43">
        <v>4</v>
      </c>
      <c r="D110" s="43">
        <v>159</v>
      </c>
      <c r="E110" s="43">
        <v>195</v>
      </c>
    </row>
    <row r="111" spans="1:7" x14ac:dyDescent="0.25">
      <c r="A111" s="41" t="s">
        <v>42</v>
      </c>
      <c r="B111" s="42">
        <f t="shared" si="18"/>
        <v>330</v>
      </c>
      <c r="C111" s="45">
        <v>1</v>
      </c>
      <c r="D111" s="45">
        <v>147</v>
      </c>
      <c r="E111" s="45">
        <v>182</v>
      </c>
    </row>
    <row r="112" spans="1:7" x14ac:dyDescent="0.25">
      <c r="A112" s="41" t="s">
        <v>43</v>
      </c>
      <c r="B112" s="42">
        <f t="shared" si="18"/>
        <v>308</v>
      </c>
      <c r="C112" s="45">
        <v>8</v>
      </c>
      <c r="D112" s="45">
        <v>145</v>
      </c>
      <c r="E112" s="45">
        <v>155</v>
      </c>
    </row>
    <row r="113" spans="1:7" x14ac:dyDescent="0.25">
      <c r="A113" s="41" t="s">
        <v>44</v>
      </c>
      <c r="B113" s="42">
        <f t="shared" si="18"/>
        <v>317</v>
      </c>
      <c r="C113" s="45">
        <v>0</v>
      </c>
      <c r="D113" s="45">
        <v>144</v>
      </c>
      <c r="E113" s="45">
        <v>173</v>
      </c>
    </row>
    <row r="114" spans="1:7" x14ac:dyDescent="0.25">
      <c r="A114" s="41" t="s">
        <v>45</v>
      </c>
      <c r="B114" s="42">
        <f t="shared" si="18"/>
        <v>323</v>
      </c>
      <c r="C114" s="45">
        <v>5</v>
      </c>
      <c r="D114" s="45">
        <v>155</v>
      </c>
      <c r="E114" s="45">
        <v>163</v>
      </c>
    </row>
    <row r="115" spans="1:7" x14ac:dyDescent="0.25">
      <c r="A115" s="44" t="s">
        <v>46</v>
      </c>
      <c r="B115" s="42">
        <f t="shared" si="18"/>
        <v>1698</v>
      </c>
      <c r="C115" s="45">
        <v>24</v>
      </c>
      <c r="D115" s="45">
        <v>762</v>
      </c>
      <c r="E115" s="45">
        <v>912</v>
      </c>
      <c r="G115" s="69">
        <f>SUM(B110:B115)</f>
        <v>3334</v>
      </c>
    </row>
    <row r="116" spans="1:7" ht="13.8" thickBot="1" x14ac:dyDescent="0.3">
      <c r="A116" s="47"/>
      <c r="B116" s="30"/>
      <c r="C116" s="40"/>
      <c r="D116" s="40"/>
      <c r="E116" s="40"/>
    </row>
    <row r="117" spans="1:7" ht="13.8" thickBot="1" x14ac:dyDescent="0.3">
      <c r="A117" s="37" t="s">
        <v>47</v>
      </c>
      <c r="B117" s="38">
        <f>+C117+D117+E117</f>
        <v>18752</v>
      </c>
      <c r="C117" s="39">
        <f>SUM(C118:C130)</f>
        <v>181</v>
      </c>
      <c r="D117" s="39">
        <f t="shared" ref="D117:E117" si="19">SUM(D118:D130)</f>
        <v>8928</v>
      </c>
      <c r="E117" s="39">
        <f t="shared" si="19"/>
        <v>9643</v>
      </c>
    </row>
    <row r="118" spans="1:7" x14ac:dyDescent="0.25">
      <c r="A118" s="48" t="s">
        <v>21</v>
      </c>
      <c r="B118" s="42">
        <f>+C118+D118+E118</f>
        <v>1932</v>
      </c>
      <c r="C118" s="43">
        <v>14</v>
      </c>
      <c r="D118" s="43">
        <v>914</v>
      </c>
      <c r="E118" s="43">
        <v>1004</v>
      </c>
    </row>
    <row r="119" spans="1:7" x14ac:dyDescent="0.25">
      <c r="A119" s="48" t="s">
        <v>48</v>
      </c>
      <c r="B119" s="42">
        <f t="shared" ref="B119:B130" si="20">+C119+D119+E119</f>
        <v>1817</v>
      </c>
      <c r="C119" s="45">
        <v>20</v>
      </c>
      <c r="D119" s="45">
        <v>891</v>
      </c>
      <c r="E119" s="45">
        <v>906</v>
      </c>
    </row>
    <row r="120" spans="1:7" x14ac:dyDescent="0.25">
      <c r="A120" s="48" t="s">
        <v>49</v>
      </c>
      <c r="B120" s="42">
        <f t="shared" si="20"/>
        <v>1624</v>
      </c>
      <c r="C120" s="45">
        <v>20</v>
      </c>
      <c r="D120" s="45">
        <v>765</v>
      </c>
      <c r="E120" s="45">
        <v>839</v>
      </c>
    </row>
    <row r="121" spans="1:7" x14ac:dyDescent="0.25">
      <c r="A121" s="48" t="s">
        <v>50</v>
      </c>
      <c r="B121" s="42">
        <f t="shared" si="20"/>
        <v>1475</v>
      </c>
      <c r="C121" s="45">
        <v>19</v>
      </c>
      <c r="D121" s="45">
        <v>666</v>
      </c>
      <c r="E121" s="45">
        <v>790</v>
      </c>
    </row>
    <row r="122" spans="1:7" x14ac:dyDescent="0.25">
      <c r="A122" s="48" t="s">
        <v>51</v>
      </c>
      <c r="B122" s="42">
        <f t="shared" si="20"/>
        <v>1302</v>
      </c>
      <c r="C122" s="45">
        <v>11</v>
      </c>
      <c r="D122" s="45">
        <v>598</v>
      </c>
      <c r="E122" s="45">
        <v>693</v>
      </c>
    </row>
    <row r="123" spans="1:7" x14ac:dyDescent="0.25">
      <c r="A123" s="48" t="s">
        <v>52</v>
      </c>
      <c r="B123" s="42">
        <f t="shared" si="20"/>
        <v>1428</v>
      </c>
      <c r="C123" s="45">
        <v>13</v>
      </c>
      <c r="D123" s="45">
        <v>699</v>
      </c>
      <c r="E123" s="45">
        <v>716</v>
      </c>
    </row>
    <row r="124" spans="1:7" x14ac:dyDescent="0.25">
      <c r="A124" s="48" t="s">
        <v>53</v>
      </c>
      <c r="B124" s="42">
        <f t="shared" si="20"/>
        <v>1498</v>
      </c>
      <c r="C124" s="45">
        <v>11</v>
      </c>
      <c r="D124" s="45">
        <v>688</v>
      </c>
      <c r="E124" s="45">
        <v>799</v>
      </c>
    </row>
    <row r="125" spans="1:7" x14ac:dyDescent="0.25">
      <c r="A125" s="48" t="s">
        <v>54</v>
      </c>
      <c r="B125" s="42">
        <f t="shared" si="20"/>
        <v>1657</v>
      </c>
      <c r="C125" s="45">
        <v>23</v>
      </c>
      <c r="D125" s="45">
        <v>720</v>
      </c>
      <c r="E125" s="45">
        <v>914</v>
      </c>
    </row>
    <row r="126" spans="1:7" x14ac:dyDescent="0.25">
      <c r="A126" s="48" t="s">
        <v>55</v>
      </c>
      <c r="B126" s="42">
        <f t="shared" si="20"/>
        <v>1397</v>
      </c>
      <c r="C126" s="45">
        <v>9</v>
      </c>
      <c r="D126" s="45">
        <v>644</v>
      </c>
      <c r="E126" s="45">
        <v>744</v>
      </c>
    </row>
    <row r="127" spans="1:7" x14ac:dyDescent="0.25">
      <c r="A127" s="49" t="s">
        <v>56</v>
      </c>
      <c r="B127" s="42">
        <f t="shared" si="20"/>
        <v>1239</v>
      </c>
      <c r="C127" s="45">
        <v>18</v>
      </c>
      <c r="D127" s="45">
        <v>537</v>
      </c>
      <c r="E127" s="45">
        <v>684</v>
      </c>
    </row>
    <row r="128" spans="1:7" x14ac:dyDescent="0.25">
      <c r="A128" s="48" t="s">
        <v>57</v>
      </c>
      <c r="B128" s="42">
        <f t="shared" si="20"/>
        <v>1114</v>
      </c>
      <c r="C128" s="45">
        <v>8</v>
      </c>
      <c r="D128" s="45">
        <v>575</v>
      </c>
      <c r="E128" s="45">
        <v>531</v>
      </c>
    </row>
    <row r="129" spans="1:7" x14ac:dyDescent="0.25">
      <c r="A129" s="48" t="s">
        <v>58</v>
      </c>
      <c r="B129" s="42">
        <f t="shared" si="20"/>
        <v>864</v>
      </c>
      <c r="C129" s="45">
        <v>8</v>
      </c>
      <c r="D129" s="45">
        <v>416</v>
      </c>
      <c r="E129" s="45">
        <v>440</v>
      </c>
    </row>
    <row r="130" spans="1:7" x14ac:dyDescent="0.25">
      <c r="A130" s="48" t="s">
        <v>59</v>
      </c>
      <c r="B130" s="42">
        <f t="shared" si="20"/>
        <v>1405</v>
      </c>
      <c r="C130" s="45">
        <v>7</v>
      </c>
      <c r="D130" s="45">
        <v>815</v>
      </c>
      <c r="E130" s="45">
        <v>583</v>
      </c>
      <c r="G130" s="69">
        <f>SUM(B118:B130)</f>
        <v>18752</v>
      </c>
    </row>
  </sheetData>
  <mergeCells count="5">
    <mergeCell ref="A1:E1"/>
    <mergeCell ref="A3:E3"/>
    <mergeCell ref="C4:E4"/>
    <mergeCell ref="A49:E49"/>
    <mergeCell ref="A92:E92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0"/>
  <sheetViews>
    <sheetView workbookViewId="0">
      <selection sqref="A1:D1"/>
    </sheetView>
  </sheetViews>
  <sheetFormatPr baseColWidth="10" defaultRowHeight="13.2" x14ac:dyDescent="0.25"/>
  <cols>
    <col min="1" max="1" width="31.6640625" customWidth="1"/>
    <col min="2" max="4" width="20.21875" customWidth="1"/>
  </cols>
  <sheetData>
    <row r="1" spans="1:7" ht="22.8" x14ac:dyDescent="0.25">
      <c r="A1" s="79" t="s">
        <v>94</v>
      </c>
      <c r="B1" s="80"/>
      <c r="C1" s="80"/>
      <c r="D1" s="80"/>
    </row>
    <row r="2" spans="1:7" x14ac:dyDescent="0.25">
      <c r="A2" s="30"/>
      <c r="B2" s="31"/>
      <c r="C2" s="31"/>
      <c r="D2" s="31"/>
    </row>
    <row r="3" spans="1:7" ht="18" customHeight="1" thickBot="1" x14ac:dyDescent="0.35">
      <c r="A3" s="85" t="s">
        <v>95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24.6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60762</v>
      </c>
      <c r="C6" s="74">
        <f>+C10+C22+C30</f>
        <v>1434</v>
      </c>
      <c r="D6" s="74">
        <f>+D10+D22+D30</f>
        <v>27036</v>
      </c>
      <c r="E6" s="74">
        <f>+E10+E22+E30</f>
        <v>32292</v>
      </c>
    </row>
    <row r="7" spans="1:7" ht="13.8" thickBot="1" x14ac:dyDescent="0.3">
      <c r="A7" s="41" t="s">
        <v>29</v>
      </c>
      <c r="B7" s="71">
        <f>+C7+D7+E7</f>
        <v>195</v>
      </c>
      <c r="C7" s="43">
        <f>+C52+C95</f>
        <v>0</v>
      </c>
      <c r="D7" s="43">
        <f>+D52+D95</f>
        <v>170</v>
      </c>
      <c r="E7" s="43">
        <f>+E52+E95</f>
        <v>25</v>
      </c>
      <c r="G7" s="69">
        <f>+B6+B7</f>
        <v>60957</v>
      </c>
    </row>
    <row r="8" spans="1:7" ht="18" thickBot="1" x14ac:dyDescent="0.5">
      <c r="A8" s="46"/>
      <c r="B8" s="75">
        <f>+B6+B7</f>
        <v>60957</v>
      </c>
      <c r="C8" s="75">
        <f>+C6+C7</f>
        <v>1434</v>
      </c>
      <c r="D8" s="75">
        <f>+D6+D7</f>
        <v>27206</v>
      </c>
      <c r="E8" s="75">
        <f>+E6+E7</f>
        <v>32317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7045</v>
      </c>
      <c r="C10" s="66">
        <f>SUM(C11:C20)</f>
        <v>240</v>
      </c>
      <c r="D10" s="67">
        <f>SUM(D11:D20)</f>
        <v>2990</v>
      </c>
      <c r="E10" s="68">
        <f>SUM(E11:E20)</f>
        <v>3815</v>
      </c>
    </row>
    <row r="11" spans="1:7" x14ac:dyDescent="0.25">
      <c r="A11" s="44" t="s">
        <v>30</v>
      </c>
      <c r="B11" s="65">
        <f>+C11+D11+E11</f>
        <v>624</v>
      </c>
      <c r="C11" s="43">
        <f>+C55+C98</f>
        <v>27</v>
      </c>
      <c r="D11" s="43">
        <f t="shared" ref="D11:E11" si="0">+D55+D98</f>
        <v>265</v>
      </c>
      <c r="E11" s="43">
        <f t="shared" si="0"/>
        <v>332</v>
      </c>
    </row>
    <row r="12" spans="1:7" x14ac:dyDescent="0.25">
      <c r="A12" s="41" t="s">
        <v>31</v>
      </c>
      <c r="B12" s="65">
        <f t="shared" ref="B12:B20" si="1">+C12+D12+E12</f>
        <v>673</v>
      </c>
      <c r="C12" s="43">
        <f t="shared" ref="C12:E20" si="2">+C56+C99</f>
        <v>33</v>
      </c>
      <c r="D12" s="43">
        <f t="shared" si="2"/>
        <v>297</v>
      </c>
      <c r="E12" s="43">
        <f t="shared" si="2"/>
        <v>343</v>
      </c>
    </row>
    <row r="13" spans="1:7" x14ac:dyDescent="0.25">
      <c r="A13" s="44" t="s">
        <v>32</v>
      </c>
      <c r="B13" s="65">
        <f t="shared" si="1"/>
        <v>684</v>
      </c>
      <c r="C13" s="43">
        <f t="shared" si="2"/>
        <v>31</v>
      </c>
      <c r="D13" s="43">
        <f t="shared" si="2"/>
        <v>294</v>
      </c>
      <c r="E13" s="43">
        <f t="shared" si="2"/>
        <v>359</v>
      </c>
    </row>
    <row r="14" spans="1:7" x14ac:dyDescent="0.25">
      <c r="A14" s="44" t="s">
        <v>33</v>
      </c>
      <c r="B14" s="65">
        <f t="shared" si="1"/>
        <v>690</v>
      </c>
      <c r="C14" s="43">
        <f t="shared" si="2"/>
        <v>20</v>
      </c>
      <c r="D14" s="43">
        <f t="shared" si="2"/>
        <v>284</v>
      </c>
      <c r="E14" s="43">
        <f t="shared" si="2"/>
        <v>386</v>
      </c>
    </row>
    <row r="15" spans="1:7" x14ac:dyDescent="0.25">
      <c r="A15" s="44" t="s">
        <v>34</v>
      </c>
      <c r="B15" s="65">
        <f t="shared" si="1"/>
        <v>776</v>
      </c>
      <c r="C15" s="43">
        <f t="shared" si="2"/>
        <v>28</v>
      </c>
      <c r="D15" s="43">
        <f t="shared" si="2"/>
        <v>321</v>
      </c>
      <c r="E15" s="43">
        <f t="shared" si="2"/>
        <v>427</v>
      </c>
    </row>
    <row r="16" spans="1:7" x14ac:dyDescent="0.25">
      <c r="A16" s="44" t="s">
        <v>35</v>
      </c>
      <c r="B16" s="65">
        <f t="shared" si="1"/>
        <v>811</v>
      </c>
      <c r="C16" s="43">
        <f t="shared" si="2"/>
        <v>23</v>
      </c>
      <c r="D16" s="43">
        <f t="shared" si="2"/>
        <v>343</v>
      </c>
      <c r="E16" s="43">
        <f t="shared" si="2"/>
        <v>445</v>
      </c>
    </row>
    <row r="17" spans="1:7" x14ac:dyDescent="0.25">
      <c r="A17" s="44" t="s">
        <v>36</v>
      </c>
      <c r="B17" s="65">
        <f t="shared" si="1"/>
        <v>694</v>
      </c>
      <c r="C17" s="43">
        <f t="shared" si="2"/>
        <v>23</v>
      </c>
      <c r="D17" s="43">
        <f t="shared" si="2"/>
        <v>301</v>
      </c>
      <c r="E17" s="43">
        <f t="shared" si="2"/>
        <v>370</v>
      </c>
    </row>
    <row r="18" spans="1:7" x14ac:dyDescent="0.25">
      <c r="A18" s="44" t="s">
        <v>37</v>
      </c>
      <c r="B18" s="65">
        <f t="shared" si="1"/>
        <v>707</v>
      </c>
      <c r="C18" s="43">
        <f t="shared" si="2"/>
        <v>17</v>
      </c>
      <c r="D18" s="43">
        <f t="shared" si="2"/>
        <v>289</v>
      </c>
      <c r="E18" s="43">
        <f t="shared" si="2"/>
        <v>401</v>
      </c>
    </row>
    <row r="19" spans="1:7" x14ac:dyDescent="0.25">
      <c r="A19" s="44" t="s">
        <v>38</v>
      </c>
      <c r="B19" s="65">
        <f t="shared" si="1"/>
        <v>676</v>
      </c>
      <c r="C19" s="43">
        <f t="shared" si="2"/>
        <v>18</v>
      </c>
      <c r="D19" s="43">
        <f t="shared" si="2"/>
        <v>281</v>
      </c>
      <c r="E19" s="43">
        <f t="shared" si="2"/>
        <v>377</v>
      </c>
    </row>
    <row r="20" spans="1:7" x14ac:dyDescent="0.25">
      <c r="A20" s="44" t="s">
        <v>39</v>
      </c>
      <c r="B20" s="65">
        <f t="shared" si="1"/>
        <v>710</v>
      </c>
      <c r="C20" s="43">
        <f t="shared" si="2"/>
        <v>20</v>
      </c>
      <c r="D20" s="43">
        <f t="shared" si="2"/>
        <v>315</v>
      </c>
      <c r="E20" s="43">
        <f t="shared" si="2"/>
        <v>375</v>
      </c>
      <c r="G20" s="69">
        <f>SUM(B11:B20)</f>
        <v>7045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7079</v>
      </c>
      <c r="C22" s="39">
        <f>SUM(C23:C28)</f>
        <v>178</v>
      </c>
      <c r="D22" s="39">
        <f>SUM(D23:D28)</f>
        <v>3005</v>
      </c>
      <c r="E22" s="39">
        <f>SUM(E23:E28)</f>
        <v>3896</v>
      </c>
    </row>
    <row r="23" spans="1:7" x14ac:dyDescent="0.25">
      <c r="A23" s="41" t="s">
        <v>41</v>
      </c>
      <c r="B23" s="42">
        <f>+C23+D23+E23</f>
        <v>756</v>
      </c>
      <c r="C23" s="43">
        <f>+C67+C110</f>
        <v>24</v>
      </c>
      <c r="D23" s="43">
        <f t="shared" ref="D23:E23" si="3">+D67+D110</f>
        <v>295</v>
      </c>
      <c r="E23" s="43">
        <f t="shared" si="3"/>
        <v>437</v>
      </c>
    </row>
    <row r="24" spans="1:7" x14ac:dyDescent="0.25">
      <c r="A24" s="41" t="s">
        <v>42</v>
      </c>
      <c r="B24" s="42">
        <f t="shared" ref="B24:B28" si="4">+C24+D24+E24</f>
        <v>718</v>
      </c>
      <c r="C24" s="43">
        <f t="shared" ref="C24:E28" si="5">+C68+C111</f>
        <v>16</v>
      </c>
      <c r="D24" s="43">
        <f t="shared" si="5"/>
        <v>317</v>
      </c>
      <c r="E24" s="43">
        <f t="shared" si="5"/>
        <v>385</v>
      </c>
    </row>
    <row r="25" spans="1:7" x14ac:dyDescent="0.25">
      <c r="A25" s="41" t="s">
        <v>43</v>
      </c>
      <c r="B25" s="42">
        <f t="shared" si="4"/>
        <v>707</v>
      </c>
      <c r="C25" s="43">
        <f t="shared" si="5"/>
        <v>19</v>
      </c>
      <c r="D25" s="43">
        <f t="shared" si="5"/>
        <v>289</v>
      </c>
      <c r="E25" s="43">
        <f t="shared" si="5"/>
        <v>399</v>
      </c>
    </row>
    <row r="26" spans="1:7" x14ac:dyDescent="0.25">
      <c r="A26" s="41" t="s">
        <v>44</v>
      </c>
      <c r="B26" s="42">
        <f t="shared" si="4"/>
        <v>690</v>
      </c>
      <c r="C26" s="43">
        <f t="shared" si="5"/>
        <v>17</v>
      </c>
      <c r="D26" s="43">
        <f t="shared" si="5"/>
        <v>288</v>
      </c>
      <c r="E26" s="43">
        <f t="shared" si="5"/>
        <v>385</v>
      </c>
    </row>
    <row r="27" spans="1:7" x14ac:dyDescent="0.25">
      <c r="A27" s="41" t="s">
        <v>45</v>
      </c>
      <c r="B27" s="42">
        <f t="shared" si="4"/>
        <v>675</v>
      </c>
      <c r="C27" s="43">
        <f t="shared" si="5"/>
        <v>14</v>
      </c>
      <c r="D27" s="43">
        <f t="shared" si="5"/>
        <v>283</v>
      </c>
      <c r="E27" s="43">
        <f t="shared" si="5"/>
        <v>378</v>
      </c>
    </row>
    <row r="28" spans="1:7" x14ac:dyDescent="0.25">
      <c r="A28" s="44" t="s">
        <v>46</v>
      </c>
      <c r="B28" s="42">
        <f t="shared" si="4"/>
        <v>3533</v>
      </c>
      <c r="C28" s="43">
        <f t="shared" si="5"/>
        <v>88</v>
      </c>
      <c r="D28" s="43">
        <f t="shared" si="5"/>
        <v>1533</v>
      </c>
      <c r="E28" s="43">
        <f t="shared" si="5"/>
        <v>1912</v>
      </c>
      <c r="G28" s="69">
        <f>SUM(B23:B28)</f>
        <v>7079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46638</v>
      </c>
      <c r="C30" s="39">
        <f>SUM(C31:C43)</f>
        <v>1016</v>
      </c>
      <c r="D30" s="39">
        <f>SUM(D31:D43)</f>
        <v>21041</v>
      </c>
      <c r="E30" s="39">
        <f>SUM(E31:E43)</f>
        <v>24581</v>
      </c>
    </row>
    <row r="31" spans="1:7" x14ac:dyDescent="0.25">
      <c r="A31" s="48" t="s">
        <v>21</v>
      </c>
      <c r="B31" s="42">
        <f>+C31+D31+E31</f>
        <v>4305</v>
      </c>
      <c r="C31" s="43">
        <f>+C75+C118</f>
        <v>84</v>
      </c>
      <c r="D31" s="43">
        <f t="shared" ref="D31:E31" si="6">+D75+D118</f>
        <v>2048</v>
      </c>
      <c r="E31" s="43">
        <f t="shared" si="6"/>
        <v>2173</v>
      </c>
    </row>
    <row r="32" spans="1:7" x14ac:dyDescent="0.25">
      <c r="A32" s="48" t="s">
        <v>48</v>
      </c>
      <c r="B32" s="42">
        <f t="shared" ref="B32:B43" si="7">+C32+D32+E32</f>
        <v>4549</v>
      </c>
      <c r="C32" s="43">
        <f t="shared" ref="C32:E43" si="8">+C76+C119</f>
        <v>106</v>
      </c>
      <c r="D32" s="43">
        <f t="shared" si="8"/>
        <v>2099</v>
      </c>
      <c r="E32" s="43">
        <f t="shared" si="8"/>
        <v>2344</v>
      </c>
    </row>
    <row r="33" spans="1:7" x14ac:dyDescent="0.25">
      <c r="A33" s="48" t="s">
        <v>49</v>
      </c>
      <c r="B33" s="42">
        <f t="shared" si="7"/>
        <v>4427</v>
      </c>
      <c r="C33" s="43">
        <f t="shared" si="8"/>
        <v>135</v>
      </c>
      <c r="D33" s="43">
        <f t="shared" si="8"/>
        <v>1973</v>
      </c>
      <c r="E33" s="43">
        <f t="shared" si="8"/>
        <v>2319</v>
      </c>
    </row>
    <row r="34" spans="1:7" x14ac:dyDescent="0.25">
      <c r="A34" s="48" t="s">
        <v>50</v>
      </c>
      <c r="B34" s="42">
        <f t="shared" si="7"/>
        <v>3885</v>
      </c>
      <c r="C34" s="43">
        <f t="shared" si="8"/>
        <v>105</v>
      </c>
      <c r="D34" s="43">
        <f t="shared" si="8"/>
        <v>1717</v>
      </c>
      <c r="E34" s="43">
        <f t="shared" si="8"/>
        <v>2063</v>
      </c>
    </row>
    <row r="35" spans="1:7" x14ac:dyDescent="0.25">
      <c r="A35" s="48" t="s">
        <v>51</v>
      </c>
      <c r="B35" s="42">
        <f t="shared" si="7"/>
        <v>3320</v>
      </c>
      <c r="C35" s="43">
        <f t="shared" si="8"/>
        <v>75</v>
      </c>
      <c r="D35" s="43">
        <f t="shared" si="8"/>
        <v>1472</v>
      </c>
      <c r="E35" s="43">
        <f t="shared" si="8"/>
        <v>1773</v>
      </c>
    </row>
    <row r="36" spans="1:7" x14ac:dyDescent="0.25">
      <c r="A36" s="48" t="s">
        <v>52</v>
      </c>
      <c r="B36" s="42">
        <f t="shared" si="7"/>
        <v>3592</v>
      </c>
      <c r="C36" s="43">
        <f t="shared" si="8"/>
        <v>73</v>
      </c>
      <c r="D36" s="43">
        <f t="shared" si="8"/>
        <v>1641</v>
      </c>
      <c r="E36" s="43">
        <f t="shared" si="8"/>
        <v>1878</v>
      </c>
    </row>
    <row r="37" spans="1:7" x14ac:dyDescent="0.25">
      <c r="A37" s="48" t="s">
        <v>53</v>
      </c>
      <c r="B37" s="42">
        <f t="shared" si="7"/>
        <v>3590</v>
      </c>
      <c r="C37" s="43">
        <f t="shared" si="8"/>
        <v>81</v>
      </c>
      <c r="D37" s="43">
        <f t="shared" si="8"/>
        <v>1624</v>
      </c>
      <c r="E37" s="43">
        <f t="shared" si="8"/>
        <v>1885</v>
      </c>
    </row>
    <row r="38" spans="1:7" x14ac:dyDescent="0.25">
      <c r="A38" s="48" t="s">
        <v>54</v>
      </c>
      <c r="B38" s="42">
        <f t="shared" si="7"/>
        <v>3916</v>
      </c>
      <c r="C38" s="43">
        <f t="shared" si="8"/>
        <v>85</v>
      </c>
      <c r="D38" s="43">
        <f t="shared" si="8"/>
        <v>1723</v>
      </c>
      <c r="E38" s="43">
        <f t="shared" si="8"/>
        <v>2108</v>
      </c>
    </row>
    <row r="39" spans="1:7" x14ac:dyDescent="0.25">
      <c r="A39" s="48" t="s">
        <v>55</v>
      </c>
      <c r="B39" s="42">
        <f t="shared" si="7"/>
        <v>3572</v>
      </c>
      <c r="C39" s="43">
        <f t="shared" si="8"/>
        <v>67</v>
      </c>
      <c r="D39" s="43">
        <f t="shared" si="8"/>
        <v>1535</v>
      </c>
      <c r="E39" s="43">
        <f t="shared" si="8"/>
        <v>1970</v>
      </c>
    </row>
    <row r="40" spans="1:7" x14ac:dyDescent="0.25">
      <c r="A40" s="49" t="s">
        <v>56</v>
      </c>
      <c r="B40" s="42">
        <f t="shared" si="7"/>
        <v>2932</v>
      </c>
      <c r="C40" s="43">
        <f t="shared" si="8"/>
        <v>58</v>
      </c>
      <c r="D40" s="43">
        <f t="shared" si="8"/>
        <v>1260</v>
      </c>
      <c r="E40" s="43">
        <f t="shared" si="8"/>
        <v>1614</v>
      </c>
    </row>
    <row r="41" spans="1:7" x14ac:dyDescent="0.25">
      <c r="A41" s="48" t="s">
        <v>57</v>
      </c>
      <c r="B41" s="42">
        <f t="shared" si="7"/>
        <v>2721</v>
      </c>
      <c r="C41" s="43">
        <f t="shared" si="8"/>
        <v>54</v>
      </c>
      <c r="D41" s="43">
        <f t="shared" si="8"/>
        <v>1264</v>
      </c>
      <c r="E41" s="43">
        <f t="shared" si="8"/>
        <v>1403</v>
      </c>
    </row>
    <row r="42" spans="1:7" x14ac:dyDescent="0.25">
      <c r="A42" s="48" t="s">
        <v>58</v>
      </c>
      <c r="B42" s="42">
        <f t="shared" si="7"/>
        <v>2215</v>
      </c>
      <c r="C42" s="43">
        <f t="shared" si="8"/>
        <v>40</v>
      </c>
      <c r="D42" s="43">
        <f t="shared" si="8"/>
        <v>999</v>
      </c>
      <c r="E42" s="43">
        <f t="shared" si="8"/>
        <v>1176</v>
      </c>
    </row>
    <row r="43" spans="1:7" x14ac:dyDescent="0.25">
      <c r="A43" s="48" t="s">
        <v>59</v>
      </c>
      <c r="B43" s="42">
        <f t="shared" si="7"/>
        <v>3614</v>
      </c>
      <c r="C43" s="43">
        <f t="shared" si="8"/>
        <v>53</v>
      </c>
      <c r="D43" s="43">
        <f t="shared" si="8"/>
        <v>1686</v>
      </c>
      <c r="E43" s="43">
        <f t="shared" si="8"/>
        <v>1875</v>
      </c>
      <c r="G43" s="69">
        <f>SUM(B31:B43)</f>
        <v>46638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57"/>
      <c r="B46" s="57"/>
      <c r="C46" s="58"/>
      <c r="D46" s="58"/>
      <c r="E46" s="58"/>
    </row>
    <row r="47" spans="1:7" x14ac:dyDescent="0.25">
      <c r="A47" s="57"/>
      <c r="B47" s="57"/>
      <c r="C47" s="58"/>
      <c r="D47" s="58"/>
      <c r="E47" s="58"/>
    </row>
    <row r="48" spans="1:7" ht="17.399999999999999" customHeight="1" x14ac:dyDescent="0.25">
      <c r="A48" s="30"/>
      <c r="B48" s="30"/>
      <c r="C48" s="40"/>
      <c r="D48" s="40"/>
      <c r="E48" s="40"/>
    </row>
    <row r="49" spans="1:7" ht="17.399999999999999" x14ac:dyDescent="0.3">
      <c r="A49" s="83" t="s">
        <v>96</v>
      </c>
      <c r="B49" s="84"/>
      <c r="C49" s="84"/>
      <c r="D49" s="84"/>
      <c r="E49" s="84"/>
    </row>
    <row r="50" spans="1:7" ht="13.8" thickBot="1" x14ac:dyDescent="0.3">
      <c r="A50" s="52"/>
      <c r="B50" s="30"/>
      <c r="C50" s="40"/>
      <c r="D50" s="40"/>
      <c r="E50" s="40"/>
    </row>
    <row r="51" spans="1:7" ht="13.8" thickBot="1" x14ac:dyDescent="0.3">
      <c r="A51" s="37" t="s">
        <v>61</v>
      </c>
      <c r="B51" s="38">
        <f>+C51+D51+E51</f>
        <v>34165</v>
      </c>
      <c r="C51" s="39">
        <f>+C54+C66+C74+C52</f>
        <v>807</v>
      </c>
      <c r="D51" s="39">
        <f>+D54+D66+D74+D52</f>
        <v>14879</v>
      </c>
      <c r="E51" s="39">
        <f>+E54+E66+E74</f>
        <v>18479</v>
      </c>
    </row>
    <row r="52" spans="1:7" x14ac:dyDescent="0.25">
      <c r="A52" s="44" t="s">
        <v>62</v>
      </c>
      <c r="B52" s="42">
        <f>+C52+D52+E52</f>
        <v>60</v>
      </c>
      <c r="C52" s="43">
        <v>0</v>
      </c>
      <c r="D52" s="43">
        <v>50</v>
      </c>
      <c r="E52" s="43">
        <v>10</v>
      </c>
      <c r="G52" s="69">
        <f>+B51+B52</f>
        <v>34225</v>
      </c>
    </row>
    <row r="53" spans="1:7" ht="13.8" thickBot="1" x14ac:dyDescent="0.3">
      <c r="A53" s="30"/>
      <c r="B53" s="30"/>
      <c r="C53" s="40"/>
      <c r="D53" s="40"/>
      <c r="E53" s="40"/>
    </row>
    <row r="54" spans="1:7" ht="13.8" thickBot="1" x14ac:dyDescent="0.3">
      <c r="A54" s="37" t="s">
        <v>28</v>
      </c>
      <c r="B54" s="38">
        <f>+C54+D54+E54</f>
        <v>3428</v>
      </c>
      <c r="C54" s="39">
        <f>SUM(C55:C64)</f>
        <v>119</v>
      </c>
      <c r="D54" s="39">
        <f>SUM(D55:D64)</f>
        <v>1455</v>
      </c>
      <c r="E54" s="39">
        <f>SUM(E55:E64)</f>
        <v>1854</v>
      </c>
    </row>
    <row r="55" spans="1:7" x14ac:dyDescent="0.25">
      <c r="A55" s="44" t="s">
        <v>30</v>
      </c>
      <c r="B55" s="42">
        <f>+C55+D55+E55</f>
        <v>287</v>
      </c>
      <c r="C55" s="45">
        <v>13</v>
      </c>
      <c r="D55" s="45">
        <v>116</v>
      </c>
      <c r="E55" s="45">
        <v>158</v>
      </c>
    </row>
    <row r="56" spans="1:7" x14ac:dyDescent="0.25">
      <c r="A56" s="41" t="s">
        <v>31</v>
      </c>
      <c r="B56" s="42">
        <f t="shared" ref="B56:B64" si="9">+C56+D56+E56</f>
        <v>330</v>
      </c>
      <c r="C56" s="45">
        <v>18</v>
      </c>
      <c r="D56" s="45">
        <v>144</v>
      </c>
      <c r="E56" s="45">
        <v>168</v>
      </c>
    </row>
    <row r="57" spans="1:7" x14ac:dyDescent="0.25">
      <c r="A57" s="44" t="s">
        <v>32</v>
      </c>
      <c r="B57" s="42">
        <f t="shared" si="9"/>
        <v>345</v>
      </c>
      <c r="C57" s="45">
        <v>15</v>
      </c>
      <c r="D57" s="45">
        <v>160</v>
      </c>
      <c r="E57" s="45">
        <v>170</v>
      </c>
    </row>
    <row r="58" spans="1:7" x14ac:dyDescent="0.25">
      <c r="A58" s="44" t="s">
        <v>33</v>
      </c>
      <c r="B58" s="42">
        <f t="shared" si="9"/>
        <v>311</v>
      </c>
      <c r="C58" s="45">
        <v>10</v>
      </c>
      <c r="D58" s="45">
        <v>123</v>
      </c>
      <c r="E58" s="45">
        <v>178</v>
      </c>
    </row>
    <row r="59" spans="1:7" x14ac:dyDescent="0.25">
      <c r="A59" s="44" t="s">
        <v>34</v>
      </c>
      <c r="B59" s="42">
        <f t="shared" si="9"/>
        <v>372</v>
      </c>
      <c r="C59" s="45">
        <v>13</v>
      </c>
      <c r="D59" s="45">
        <v>157</v>
      </c>
      <c r="E59" s="45">
        <v>202</v>
      </c>
    </row>
    <row r="60" spans="1:7" x14ac:dyDescent="0.25">
      <c r="A60" s="44" t="s">
        <v>35</v>
      </c>
      <c r="B60" s="42">
        <f t="shared" si="9"/>
        <v>405</v>
      </c>
      <c r="C60" s="45">
        <v>9</v>
      </c>
      <c r="D60" s="45">
        <v>180</v>
      </c>
      <c r="E60" s="45">
        <v>216</v>
      </c>
    </row>
    <row r="61" spans="1:7" x14ac:dyDescent="0.25">
      <c r="A61" s="44" t="s">
        <v>36</v>
      </c>
      <c r="B61" s="42">
        <f t="shared" si="9"/>
        <v>370</v>
      </c>
      <c r="C61" s="45">
        <v>13</v>
      </c>
      <c r="D61" s="45">
        <v>166</v>
      </c>
      <c r="E61" s="45">
        <v>191</v>
      </c>
    </row>
    <row r="62" spans="1:7" x14ac:dyDescent="0.25">
      <c r="A62" s="44" t="s">
        <v>37</v>
      </c>
      <c r="B62" s="42">
        <f t="shared" si="9"/>
        <v>338</v>
      </c>
      <c r="C62" s="45">
        <v>10</v>
      </c>
      <c r="D62" s="45">
        <v>143</v>
      </c>
      <c r="E62" s="45">
        <v>185</v>
      </c>
    </row>
    <row r="63" spans="1:7" x14ac:dyDescent="0.25">
      <c r="A63" s="44" t="s">
        <v>38</v>
      </c>
      <c r="B63" s="42">
        <f t="shared" si="9"/>
        <v>335</v>
      </c>
      <c r="C63" s="45">
        <v>9</v>
      </c>
      <c r="D63" s="45">
        <v>126</v>
      </c>
      <c r="E63" s="45">
        <v>200</v>
      </c>
    </row>
    <row r="64" spans="1:7" x14ac:dyDescent="0.25">
      <c r="A64" s="44" t="s">
        <v>39</v>
      </c>
      <c r="B64" s="42">
        <f t="shared" si="9"/>
        <v>335</v>
      </c>
      <c r="C64" s="45">
        <v>9</v>
      </c>
      <c r="D64" s="45">
        <v>140</v>
      </c>
      <c r="E64" s="45">
        <v>186</v>
      </c>
      <c r="G64" s="69">
        <f>SUM(B55:B64)</f>
        <v>3428</v>
      </c>
    </row>
    <row r="65" spans="1:7" ht="13.8" thickBot="1" x14ac:dyDescent="0.3">
      <c r="A65" s="46"/>
      <c r="B65" s="30"/>
      <c r="C65" s="40"/>
      <c r="D65" s="40"/>
      <c r="E65" s="40"/>
    </row>
    <row r="66" spans="1:7" ht="13.8" thickBot="1" x14ac:dyDescent="0.3">
      <c r="A66" s="37" t="s">
        <v>40</v>
      </c>
      <c r="B66" s="38">
        <f>+C66+D66+E66</f>
        <v>3577</v>
      </c>
      <c r="C66" s="39">
        <f>SUM(C67:C72)</f>
        <v>79</v>
      </c>
      <c r="D66" s="39">
        <f>SUM(D67:D72)</f>
        <v>1502</v>
      </c>
      <c r="E66" s="39">
        <f>SUM(E67:E72)</f>
        <v>1996</v>
      </c>
    </row>
    <row r="67" spans="1:7" x14ac:dyDescent="0.25">
      <c r="A67" s="41" t="s">
        <v>41</v>
      </c>
      <c r="B67" s="42">
        <f>+C67+D67+E67</f>
        <v>368</v>
      </c>
      <c r="C67" s="43">
        <v>8</v>
      </c>
      <c r="D67" s="43">
        <v>151</v>
      </c>
      <c r="E67" s="43">
        <v>209</v>
      </c>
    </row>
    <row r="68" spans="1:7" x14ac:dyDescent="0.25">
      <c r="A68" s="41" t="s">
        <v>42</v>
      </c>
      <c r="B68" s="42">
        <f t="shared" ref="B68:B72" si="10">+C68+D68+E68</f>
        <v>341</v>
      </c>
      <c r="C68" s="45">
        <v>6</v>
      </c>
      <c r="D68" s="45">
        <v>151</v>
      </c>
      <c r="E68" s="45">
        <v>184</v>
      </c>
    </row>
    <row r="69" spans="1:7" x14ac:dyDescent="0.25">
      <c r="A69" s="41" t="s">
        <v>43</v>
      </c>
      <c r="B69" s="42">
        <f t="shared" si="10"/>
        <v>362</v>
      </c>
      <c r="C69" s="45">
        <v>12</v>
      </c>
      <c r="D69" s="45">
        <v>147</v>
      </c>
      <c r="E69" s="45">
        <v>203</v>
      </c>
    </row>
    <row r="70" spans="1:7" x14ac:dyDescent="0.25">
      <c r="A70" s="41" t="s">
        <v>44</v>
      </c>
      <c r="B70" s="42">
        <f t="shared" si="10"/>
        <v>366</v>
      </c>
      <c r="C70" s="45">
        <v>2</v>
      </c>
      <c r="D70" s="45">
        <v>145</v>
      </c>
      <c r="E70" s="45">
        <v>219</v>
      </c>
    </row>
    <row r="71" spans="1:7" x14ac:dyDescent="0.25">
      <c r="A71" s="41" t="s">
        <v>45</v>
      </c>
      <c r="B71" s="42">
        <f t="shared" si="10"/>
        <v>341</v>
      </c>
      <c r="C71" s="45">
        <v>8</v>
      </c>
      <c r="D71" s="45">
        <v>135</v>
      </c>
      <c r="E71" s="45">
        <v>198</v>
      </c>
    </row>
    <row r="72" spans="1:7" x14ac:dyDescent="0.25">
      <c r="A72" s="44" t="s">
        <v>46</v>
      </c>
      <c r="B72" s="42">
        <f t="shared" si="10"/>
        <v>1799</v>
      </c>
      <c r="C72" s="45">
        <v>43</v>
      </c>
      <c r="D72" s="45">
        <v>773</v>
      </c>
      <c r="E72" s="45">
        <v>983</v>
      </c>
      <c r="G72" s="69">
        <f>SUM(B67:B72)</f>
        <v>3577</v>
      </c>
    </row>
    <row r="73" spans="1:7" ht="13.8" thickBot="1" x14ac:dyDescent="0.3">
      <c r="A73" s="47"/>
      <c r="B73" s="30"/>
      <c r="C73" s="40"/>
      <c r="D73" s="40"/>
      <c r="E73" s="40"/>
    </row>
    <row r="74" spans="1:7" ht="13.8" thickBot="1" x14ac:dyDescent="0.3">
      <c r="A74" s="37" t="s">
        <v>47</v>
      </c>
      <c r="B74" s="38">
        <f>+C74+D74+E74</f>
        <v>27110</v>
      </c>
      <c r="C74" s="39">
        <f>SUM(C75:C87)</f>
        <v>609</v>
      </c>
      <c r="D74" s="39">
        <f>SUM(D75:D87)</f>
        <v>11872</v>
      </c>
      <c r="E74" s="39">
        <f>SUM(E75:E87)</f>
        <v>14629</v>
      </c>
    </row>
    <row r="75" spans="1:7" x14ac:dyDescent="0.25">
      <c r="A75" s="48" t="s">
        <v>21</v>
      </c>
      <c r="B75" s="42">
        <f>+C75+D75+E75</f>
        <v>2324</v>
      </c>
      <c r="C75" s="43">
        <v>53</v>
      </c>
      <c r="D75" s="43">
        <v>1105</v>
      </c>
      <c r="E75" s="43">
        <v>1166</v>
      </c>
    </row>
    <row r="76" spans="1:7" x14ac:dyDescent="0.25">
      <c r="A76" s="48" t="s">
        <v>48</v>
      </c>
      <c r="B76" s="42">
        <f t="shared" ref="B76:B87" si="11">+C76+D76+E76</f>
        <v>2622</v>
      </c>
      <c r="C76" s="45">
        <v>71</v>
      </c>
      <c r="D76" s="45">
        <v>1136</v>
      </c>
      <c r="E76" s="45">
        <v>1415</v>
      </c>
    </row>
    <row r="77" spans="1:7" x14ac:dyDescent="0.25">
      <c r="A77" s="48" t="s">
        <v>49</v>
      </c>
      <c r="B77" s="42">
        <f t="shared" si="11"/>
        <v>2592</v>
      </c>
      <c r="C77" s="45">
        <v>89</v>
      </c>
      <c r="D77" s="45">
        <v>1118</v>
      </c>
      <c r="E77" s="45">
        <v>1385</v>
      </c>
    </row>
    <row r="78" spans="1:7" x14ac:dyDescent="0.25">
      <c r="A78" s="48" t="s">
        <v>50</v>
      </c>
      <c r="B78" s="42">
        <f t="shared" si="11"/>
        <v>2284</v>
      </c>
      <c r="C78" s="45">
        <v>59</v>
      </c>
      <c r="D78" s="45">
        <v>996</v>
      </c>
      <c r="E78" s="45">
        <v>1229</v>
      </c>
    </row>
    <row r="79" spans="1:7" x14ac:dyDescent="0.25">
      <c r="A79" s="48" t="s">
        <v>51</v>
      </c>
      <c r="B79" s="42">
        <f t="shared" si="11"/>
        <v>1904</v>
      </c>
      <c r="C79" s="45">
        <v>46</v>
      </c>
      <c r="D79" s="45">
        <v>822</v>
      </c>
      <c r="E79" s="45">
        <v>1036</v>
      </c>
    </row>
    <row r="80" spans="1:7" x14ac:dyDescent="0.25">
      <c r="A80" s="48" t="s">
        <v>52</v>
      </c>
      <c r="B80" s="42">
        <f t="shared" si="11"/>
        <v>2050</v>
      </c>
      <c r="C80" s="45">
        <v>39</v>
      </c>
      <c r="D80" s="45">
        <v>906</v>
      </c>
      <c r="E80" s="45">
        <v>1105</v>
      </c>
    </row>
    <row r="81" spans="1:7" x14ac:dyDescent="0.25">
      <c r="A81" s="48" t="s">
        <v>53</v>
      </c>
      <c r="B81" s="42">
        <f t="shared" si="11"/>
        <v>2109</v>
      </c>
      <c r="C81" s="45">
        <v>51</v>
      </c>
      <c r="D81" s="45">
        <v>946</v>
      </c>
      <c r="E81" s="45">
        <v>1112</v>
      </c>
    </row>
    <row r="82" spans="1:7" x14ac:dyDescent="0.25">
      <c r="A82" s="48" t="s">
        <v>54</v>
      </c>
      <c r="B82" s="42">
        <f t="shared" si="11"/>
        <v>2252</v>
      </c>
      <c r="C82" s="45">
        <v>47</v>
      </c>
      <c r="D82" s="45">
        <v>994</v>
      </c>
      <c r="E82" s="45">
        <v>1211</v>
      </c>
    </row>
    <row r="83" spans="1:7" x14ac:dyDescent="0.25">
      <c r="A83" s="48" t="s">
        <v>55</v>
      </c>
      <c r="B83" s="42">
        <f t="shared" si="11"/>
        <v>2082</v>
      </c>
      <c r="C83" s="45">
        <v>35</v>
      </c>
      <c r="D83" s="45">
        <v>866</v>
      </c>
      <c r="E83" s="45">
        <v>1181</v>
      </c>
    </row>
    <row r="84" spans="1:7" x14ac:dyDescent="0.25">
      <c r="A84" s="49" t="s">
        <v>56</v>
      </c>
      <c r="B84" s="42">
        <f t="shared" si="11"/>
        <v>1669</v>
      </c>
      <c r="C84" s="45">
        <v>32</v>
      </c>
      <c r="D84" s="45">
        <v>730</v>
      </c>
      <c r="E84" s="45">
        <v>907</v>
      </c>
    </row>
    <row r="85" spans="1:7" x14ac:dyDescent="0.25">
      <c r="A85" s="48" t="s">
        <v>57</v>
      </c>
      <c r="B85" s="42">
        <f t="shared" si="11"/>
        <v>1596</v>
      </c>
      <c r="C85" s="45">
        <v>34</v>
      </c>
      <c r="D85" s="45">
        <v>701</v>
      </c>
      <c r="E85" s="45">
        <v>861</v>
      </c>
    </row>
    <row r="86" spans="1:7" x14ac:dyDescent="0.25">
      <c r="A86" s="48" t="s">
        <v>58</v>
      </c>
      <c r="B86" s="42">
        <f t="shared" si="11"/>
        <v>1329</v>
      </c>
      <c r="C86" s="45">
        <v>22</v>
      </c>
      <c r="D86" s="45">
        <v>571</v>
      </c>
      <c r="E86" s="45">
        <v>736</v>
      </c>
    </row>
    <row r="87" spans="1:7" x14ac:dyDescent="0.25">
      <c r="A87" s="48" t="s">
        <v>59</v>
      </c>
      <c r="B87" s="42">
        <f t="shared" si="11"/>
        <v>2297</v>
      </c>
      <c r="C87" s="45">
        <v>31</v>
      </c>
      <c r="D87" s="45">
        <v>981</v>
      </c>
      <c r="E87" s="45">
        <v>1285</v>
      </c>
      <c r="G87" s="69">
        <f>SUM(B75:B87)</f>
        <v>27110</v>
      </c>
    </row>
    <row r="89" spans="1:7" x14ac:dyDescent="0.25">
      <c r="A89" s="56"/>
      <c r="B89" s="56"/>
      <c r="C89" s="56"/>
      <c r="D89" s="56"/>
      <c r="E89" s="56"/>
    </row>
    <row r="90" spans="1:7" x14ac:dyDescent="0.25">
      <c r="A90" s="56"/>
      <c r="B90" s="56"/>
      <c r="C90" s="56"/>
      <c r="D90" s="56"/>
      <c r="E90" s="56"/>
    </row>
    <row r="91" spans="1:7" ht="17.399999999999999" customHeight="1" x14ac:dyDescent="0.25"/>
    <row r="92" spans="1:7" ht="17.399999999999999" x14ac:dyDescent="0.3">
      <c r="A92" s="83" t="s">
        <v>97</v>
      </c>
      <c r="B92" s="84"/>
      <c r="C92" s="84"/>
      <c r="D92" s="84"/>
      <c r="E92" s="84"/>
    </row>
    <row r="93" spans="1:7" ht="13.8" thickBot="1" x14ac:dyDescent="0.3">
      <c r="A93" s="52"/>
      <c r="B93" s="30"/>
      <c r="C93" s="40"/>
      <c r="D93" s="40"/>
      <c r="E93" s="40"/>
    </row>
    <row r="94" spans="1:7" ht="13.8" thickBot="1" x14ac:dyDescent="0.3">
      <c r="A94" s="37" t="s">
        <v>64</v>
      </c>
      <c r="B94" s="38">
        <f>+C94+D94+E94</f>
        <v>26767</v>
      </c>
      <c r="C94" s="39">
        <f>+C97+C109+C117+C95</f>
        <v>627</v>
      </c>
      <c r="D94" s="39">
        <f>+D97+D109+D117+D95</f>
        <v>12327</v>
      </c>
      <c r="E94" s="39">
        <f>+E97+E109+E117</f>
        <v>13813</v>
      </c>
    </row>
    <row r="95" spans="1:7" x14ac:dyDescent="0.25">
      <c r="A95" s="44" t="s">
        <v>62</v>
      </c>
      <c r="B95" s="42">
        <f>+C95+D95+E95</f>
        <v>135</v>
      </c>
      <c r="C95" s="43">
        <v>0</v>
      </c>
      <c r="D95" s="43">
        <v>120</v>
      </c>
      <c r="E95" s="43">
        <v>15</v>
      </c>
      <c r="G95" s="69">
        <f>+B94+B95</f>
        <v>26902</v>
      </c>
    </row>
    <row r="96" spans="1:7" ht="13.8" thickBot="1" x14ac:dyDescent="0.3">
      <c r="A96" s="30"/>
      <c r="B96" s="30"/>
      <c r="C96" s="40"/>
      <c r="D96" s="40"/>
      <c r="E96" s="40"/>
    </row>
    <row r="97" spans="1:7" ht="13.8" thickBot="1" x14ac:dyDescent="0.3">
      <c r="A97" s="37" t="s">
        <v>28</v>
      </c>
      <c r="B97" s="38">
        <f>+C97+D97+E97</f>
        <v>3617</v>
      </c>
      <c r="C97" s="39">
        <f>SUM(C98:C107)</f>
        <v>121</v>
      </c>
      <c r="D97" s="39">
        <f>SUM(D98:D107)</f>
        <v>1535</v>
      </c>
      <c r="E97" s="39">
        <f>SUM(E98:E107)</f>
        <v>1961</v>
      </c>
    </row>
    <row r="98" spans="1:7" x14ac:dyDescent="0.25">
      <c r="A98" s="44" t="s">
        <v>30</v>
      </c>
      <c r="B98" s="42">
        <f t="shared" ref="B98:B107" si="12">+C98+D98+E98</f>
        <v>337</v>
      </c>
      <c r="C98" s="45">
        <v>14</v>
      </c>
      <c r="D98" s="45">
        <v>149</v>
      </c>
      <c r="E98" s="45">
        <v>174</v>
      </c>
    </row>
    <row r="99" spans="1:7" x14ac:dyDescent="0.25">
      <c r="A99" s="41" t="s">
        <v>31</v>
      </c>
      <c r="B99" s="42">
        <f t="shared" si="12"/>
        <v>343</v>
      </c>
      <c r="C99" s="45">
        <v>15</v>
      </c>
      <c r="D99" s="45">
        <v>153</v>
      </c>
      <c r="E99" s="45">
        <v>175</v>
      </c>
    </row>
    <row r="100" spans="1:7" x14ac:dyDescent="0.25">
      <c r="A100" s="44" t="s">
        <v>32</v>
      </c>
      <c r="B100" s="42">
        <f t="shared" si="12"/>
        <v>339</v>
      </c>
      <c r="C100" s="45">
        <v>16</v>
      </c>
      <c r="D100" s="45">
        <v>134</v>
      </c>
      <c r="E100" s="45">
        <v>189</v>
      </c>
    </row>
    <row r="101" spans="1:7" x14ac:dyDescent="0.25">
      <c r="A101" s="44" t="s">
        <v>33</v>
      </c>
      <c r="B101" s="42">
        <f t="shared" si="12"/>
        <v>379</v>
      </c>
      <c r="C101" s="45">
        <v>10</v>
      </c>
      <c r="D101" s="45">
        <v>161</v>
      </c>
      <c r="E101" s="45">
        <v>208</v>
      </c>
    </row>
    <row r="102" spans="1:7" x14ac:dyDescent="0.25">
      <c r="A102" s="44" t="s">
        <v>34</v>
      </c>
      <c r="B102" s="42">
        <f t="shared" si="12"/>
        <v>404</v>
      </c>
      <c r="C102" s="45">
        <v>15</v>
      </c>
      <c r="D102" s="45">
        <v>164</v>
      </c>
      <c r="E102" s="45">
        <v>225</v>
      </c>
    </row>
    <row r="103" spans="1:7" x14ac:dyDescent="0.25">
      <c r="A103" s="44" t="s">
        <v>35</v>
      </c>
      <c r="B103" s="42">
        <f t="shared" si="12"/>
        <v>406</v>
      </c>
      <c r="C103" s="45">
        <v>14</v>
      </c>
      <c r="D103" s="45">
        <v>163</v>
      </c>
      <c r="E103" s="45">
        <v>229</v>
      </c>
    </row>
    <row r="104" spans="1:7" x14ac:dyDescent="0.25">
      <c r="A104" s="44" t="s">
        <v>36</v>
      </c>
      <c r="B104" s="42">
        <f t="shared" si="12"/>
        <v>324</v>
      </c>
      <c r="C104" s="45">
        <v>10</v>
      </c>
      <c r="D104" s="45">
        <v>135</v>
      </c>
      <c r="E104" s="45">
        <v>179</v>
      </c>
    </row>
    <row r="105" spans="1:7" x14ac:dyDescent="0.25">
      <c r="A105" s="44" t="s">
        <v>37</v>
      </c>
      <c r="B105" s="42">
        <f t="shared" si="12"/>
        <v>369</v>
      </c>
      <c r="C105" s="45">
        <v>7</v>
      </c>
      <c r="D105" s="45">
        <v>146</v>
      </c>
      <c r="E105" s="45">
        <v>216</v>
      </c>
    </row>
    <row r="106" spans="1:7" x14ac:dyDescent="0.25">
      <c r="A106" s="44" t="s">
        <v>38</v>
      </c>
      <c r="B106" s="42">
        <f t="shared" si="12"/>
        <v>341</v>
      </c>
      <c r="C106" s="45">
        <v>9</v>
      </c>
      <c r="D106" s="45">
        <v>155</v>
      </c>
      <c r="E106" s="45">
        <v>177</v>
      </c>
    </row>
    <row r="107" spans="1:7" x14ac:dyDescent="0.25">
      <c r="A107" s="44" t="s">
        <v>39</v>
      </c>
      <c r="B107" s="42">
        <f t="shared" si="12"/>
        <v>375</v>
      </c>
      <c r="C107" s="45">
        <v>11</v>
      </c>
      <c r="D107" s="45">
        <v>175</v>
      </c>
      <c r="E107" s="45">
        <v>189</v>
      </c>
      <c r="G107" s="69">
        <f>SUM(B98:B107)</f>
        <v>3617</v>
      </c>
    </row>
    <row r="108" spans="1:7" ht="13.8" thickBot="1" x14ac:dyDescent="0.3">
      <c r="A108" s="46"/>
      <c r="B108" s="30"/>
      <c r="C108" s="40"/>
      <c r="D108" s="40"/>
      <c r="E108" s="40"/>
    </row>
    <row r="109" spans="1:7" ht="13.8" thickBot="1" x14ac:dyDescent="0.3">
      <c r="A109" s="37" t="s">
        <v>40</v>
      </c>
      <c r="B109" s="38">
        <f>+C109+D109+E109</f>
        <v>3502</v>
      </c>
      <c r="C109" s="39">
        <f>SUM(C110:C115)</f>
        <v>99</v>
      </c>
      <c r="D109" s="39">
        <f t="shared" ref="D109:E109" si="13">SUM(D110:D115)</f>
        <v>1503</v>
      </c>
      <c r="E109" s="39">
        <f t="shared" si="13"/>
        <v>1900</v>
      </c>
    </row>
    <row r="110" spans="1:7" x14ac:dyDescent="0.25">
      <c r="A110" s="41" t="s">
        <v>41</v>
      </c>
      <c r="B110" s="42">
        <f t="shared" ref="B110:B115" si="14">+C110+D110+E110</f>
        <v>388</v>
      </c>
      <c r="C110" s="43">
        <v>16</v>
      </c>
      <c r="D110" s="43">
        <v>144</v>
      </c>
      <c r="E110" s="43">
        <v>228</v>
      </c>
    </row>
    <row r="111" spans="1:7" x14ac:dyDescent="0.25">
      <c r="A111" s="41" t="s">
        <v>42</v>
      </c>
      <c r="B111" s="42">
        <f t="shared" si="14"/>
        <v>377</v>
      </c>
      <c r="C111" s="45">
        <v>10</v>
      </c>
      <c r="D111" s="45">
        <v>166</v>
      </c>
      <c r="E111" s="45">
        <v>201</v>
      </c>
    </row>
    <row r="112" spans="1:7" x14ac:dyDescent="0.25">
      <c r="A112" s="41" t="s">
        <v>43</v>
      </c>
      <c r="B112" s="42">
        <f t="shared" si="14"/>
        <v>345</v>
      </c>
      <c r="C112" s="45">
        <v>7</v>
      </c>
      <c r="D112" s="45">
        <v>142</v>
      </c>
      <c r="E112" s="45">
        <v>196</v>
      </c>
    </row>
    <row r="113" spans="1:7" x14ac:dyDescent="0.25">
      <c r="A113" s="41" t="s">
        <v>44</v>
      </c>
      <c r="B113" s="42">
        <f t="shared" si="14"/>
        <v>324</v>
      </c>
      <c r="C113" s="45">
        <v>15</v>
      </c>
      <c r="D113" s="45">
        <v>143</v>
      </c>
      <c r="E113" s="45">
        <v>166</v>
      </c>
    </row>
    <row r="114" spans="1:7" x14ac:dyDescent="0.25">
      <c r="A114" s="41" t="s">
        <v>45</v>
      </c>
      <c r="B114" s="42">
        <f t="shared" si="14"/>
        <v>334</v>
      </c>
      <c r="C114" s="45">
        <v>6</v>
      </c>
      <c r="D114" s="45">
        <v>148</v>
      </c>
      <c r="E114" s="45">
        <v>180</v>
      </c>
    </row>
    <row r="115" spans="1:7" x14ac:dyDescent="0.25">
      <c r="A115" s="44" t="s">
        <v>46</v>
      </c>
      <c r="B115" s="42">
        <f t="shared" si="14"/>
        <v>1734</v>
      </c>
      <c r="C115" s="45">
        <v>45</v>
      </c>
      <c r="D115" s="45">
        <v>760</v>
      </c>
      <c r="E115" s="45">
        <v>929</v>
      </c>
      <c r="G115" s="69">
        <f>SUM(B110:B115)</f>
        <v>3502</v>
      </c>
    </row>
    <row r="116" spans="1:7" ht="13.8" thickBot="1" x14ac:dyDescent="0.3">
      <c r="A116" s="47"/>
      <c r="B116" s="30"/>
      <c r="C116" s="40"/>
      <c r="D116" s="40"/>
      <c r="E116" s="40"/>
    </row>
    <row r="117" spans="1:7" ht="13.8" thickBot="1" x14ac:dyDescent="0.3">
      <c r="A117" s="37" t="s">
        <v>47</v>
      </c>
      <c r="B117" s="38">
        <f>+C117+D117+E117</f>
        <v>19528</v>
      </c>
      <c r="C117" s="39">
        <f>SUM(C118:C130)</f>
        <v>407</v>
      </c>
      <c r="D117" s="39">
        <f t="shared" ref="D117:E117" si="15">SUM(D118:D130)</f>
        <v>9169</v>
      </c>
      <c r="E117" s="39">
        <f t="shared" si="15"/>
        <v>9952</v>
      </c>
    </row>
    <row r="118" spans="1:7" x14ac:dyDescent="0.25">
      <c r="A118" s="48" t="s">
        <v>21</v>
      </c>
      <c r="B118" s="42">
        <f>+C118+D118+E118</f>
        <v>1981</v>
      </c>
      <c r="C118" s="43">
        <v>31</v>
      </c>
      <c r="D118" s="43">
        <v>943</v>
      </c>
      <c r="E118" s="43">
        <v>1007</v>
      </c>
    </row>
    <row r="119" spans="1:7" x14ac:dyDescent="0.25">
      <c r="A119" s="48" t="s">
        <v>48</v>
      </c>
      <c r="B119" s="42">
        <f t="shared" ref="B119:B130" si="16">+C119+D119+E119</f>
        <v>1927</v>
      </c>
      <c r="C119" s="45">
        <v>35</v>
      </c>
      <c r="D119" s="45">
        <v>963</v>
      </c>
      <c r="E119" s="45">
        <v>929</v>
      </c>
    </row>
    <row r="120" spans="1:7" x14ac:dyDescent="0.25">
      <c r="A120" s="48" t="s">
        <v>49</v>
      </c>
      <c r="B120" s="42">
        <f t="shared" si="16"/>
        <v>1835</v>
      </c>
      <c r="C120" s="45">
        <v>46</v>
      </c>
      <c r="D120" s="45">
        <v>855</v>
      </c>
      <c r="E120" s="45">
        <v>934</v>
      </c>
    </row>
    <row r="121" spans="1:7" x14ac:dyDescent="0.25">
      <c r="A121" s="48" t="s">
        <v>50</v>
      </c>
      <c r="B121" s="42">
        <f t="shared" si="16"/>
        <v>1601</v>
      </c>
      <c r="C121" s="45">
        <v>46</v>
      </c>
      <c r="D121" s="45">
        <v>721</v>
      </c>
      <c r="E121" s="45">
        <v>834</v>
      </c>
    </row>
    <row r="122" spans="1:7" x14ac:dyDescent="0.25">
      <c r="A122" s="48" t="s">
        <v>51</v>
      </c>
      <c r="B122" s="42">
        <f t="shared" si="16"/>
        <v>1416</v>
      </c>
      <c r="C122" s="45">
        <v>29</v>
      </c>
      <c r="D122" s="45">
        <v>650</v>
      </c>
      <c r="E122" s="45">
        <v>737</v>
      </c>
    </row>
    <row r="123" spans="1:7" x14ac:dyDescent="0.25">
      <c r="A123" s="48" t="s">
        <v>52</v>
      </c>
      <c r="B123" s="42">
        <f t="shared" si="16"/>
        <v>1542</v>
      </c>
      <c r="C123" s="45">
        <v>34</v>
      </c>
      <c r="D123" s="45">
        <v>735</v>
      </c>
      <c r="E123" s="45">
        <v>773</v>
      </c>
    </row>
    <row r="124" spans="1:7" x14ac:dyDescent="0.25">
      <c r="A124" s="48" t="s">
        <v>53</v>
      </c>
      <c r="B124" s="42">
        <f t="shared" si="16"/>
        <v>1481</v>
      </c>
      <c r="C124" s="45">
        <v>30</v>
      </c>
      <c r="D124" s="45">
        <v>678</v>
      </c>
      <c r="E124" s="45">
        <v>773</v>
      </c>
    </row>
    <row r="125" spans="1:7" x14ac:dyDescent="0.25">
      <c r="A125" s="48" t="s">
        <v>54</v>
      </c>
      <c r="B125" s="42">
        <f t="shared" si="16"/>
        <v>1664</v>
      </c>
      <c r="C125" s="45">
        <v>38</v>
      </c>
      <c r="D125" s="45">
        <v>729</v>
      </c>
      <c r="E125" s="45">
        <v>897</v>
      </c>
    </row>
    <row r="126" spans="1:7" x14ac:dyDescent="0.25">
      <c r="A126" s="48" t="s">
        <v>55</v>
      </c>
      <c r="B126" s="42">
        <f t="shared" si="16"/>
        <v>1490</v>
      </c>
      <c r="C126" s="45">
        <v>32</v>
      </c>
      <c r="D126" s="45">
        <v>669</v>
      </c>
      <c r="E126" s="45">
        <v>789</v>
      </c>
    </row>
    <row r="127" spans="1:7" x14ac:dyDescent="0.25">
      <c r="A127" s="49" t="s">
        <v>56</v>
      </c>
      <c r="B127" s="42">
        <f t="shared" si="16"/>
        <v>1263</v>
      </c>
      <c r="C127" s="45">
        <v>26</v>
      </c>
      <c r="D127" s="45">
        <v>530</v>
      </c>
      <c r="E127" s="45">
        <v>707</v>
      </c>
    </row>
    <row r="128" spans="1:7" x14ac:dyDescent="0.25">
      <c r="A128" s="48" t="s">
        <v>57</v>
      </c>
      <c r="B128" s="42">
        <f t="shared" si="16"/>
        <v>1125</v>
      </c>
      <c r="C128" s="45">
        <v>20</v>
      </c>
      <c r="D128" s="45">
        <v>563</v>
      </c>
      <c r="E128" s="45">
        <v>542</v>
      </c>
    </row>
    <row r="129" spans="1:7" x14ac:dyDescent="0.25">
      <c r="A129" s="48" t="s">
        <v>58</v>
      </c>
      <c r="B129" s="42">
        <f t="shared" si="16"/>
        <v>886</v>
      </c>
      <c r="C129" s="45">
        <v>18</v>
      </c>
      <c r="D129" s="45">
        <v>428</v>
      </c>
      <c r="E129" s="45">
        <v>440</v>
      </c>
    </row>
    <row r="130" spans="1:7" x14ac:dyDescent="0.25">
      <c r="A130" s="48" t="s">
        <v>59</v>
      </c>
      <c r="B130" s="42">
        <f t="shared" si="16"/>
        <v>1317</v>
      </c>
      <c r="C130" s="45">
        <v>22</v>
      </c>
      <c r="D130" s="45">
        <v>705</v>
      </c>
      <c r="E130" s="45">
        <v>590</v>
      </c>
      <c r="G130" s="69">
        <f>SUM(B118:B130)</f>
        <v>19528</v>
      </c>
    </row>
  </sheetData>
  <mergeCells count="5">
    <mergeCell ref="A92:E92"/>
    <mergeCell ref="A1:D1"/>
    <mergeCell ref="A3:E3"/>
    <mergeCell ref="C4:E4"/>
    <mergeCell ref="A49:E49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9"/>
  <sheetViews>
    <sheetView workbookViewId="0">
      <selection sqref="A1:D1"/>
    </sheetView>
  </sheetViews>
  <sheetFormatPr baseColWidth="10" defaultRowHeight="13.2" x14ac:dyDescent="0.25"/>
  <cols>
    <col min="1" max="1" width="31.77734375" customWidth="1"/>
    <col min="2" max="2" width="16.6640625" customWidth="1"/>
    <col min="3" max="3" width="11.6640625" customWidth="1"/>
    <col min="4" max="4" width="17.5546875" customWidth="1"/>
    <col min="5" max="5" width="18.109375" customWidth="1"/>
    <col min="6" max="6" width="5.33203125" customWidth="1"/>
  </cols>
  <sheetData>
    <row r="1" spans="1:7" ht="22.8" x14ac:dyDescent="0.25">
      <c r="A1" s="79" t="s">
        <v>94</v>
      </c>
      <c r="B1" s="80"/>
      <c r="C1" s="80"/>
      <c r="D1" s="80"/>
    </row>
    <row r="2" spans="1:7" x14ac:dyDescent="0.25">
      <c r="A2" s="30"/>
      <c r="B2" s="31"/>
      <c r="C2" s="31"/>
      <c r="D2" s="31"/>
    </row>
    <row r="3" spans="1:7" ht="18" thickBot="1" x14ac:dyDescent="0.35">
      <c r="A3" s="85" t="s">
        <v>103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62757</v>
      </c>
      <c r="C6" s="74">
        <f>+C10+C22+C30</f>
        <v>2170</v>
      </c>
      <c r="D6" s="74">
        <f>+D10+D22+D30</f>
        <v>28009</v>
      </c>
      <c r="E6" s="74">
        <f>+E10+E22+E30</f>
        <v>32578</v>
      </c>
    </row>
    <row r="7" spans="1:7" ht="13.8" thickBot="1" x14ac:dyDescent="0.3">
      <c r="A7" s="41" t="s">
        <v>29</v>
      </c>
      <c r="B7" s="71">
        <f>+C7+D7+E7</f>
        <v>2</v>
      </c>
      <c r="C7" s="43">
        <f>+C63+C124</f>
        <v>0</v>
      </c>
      <c r="D7" s="43">
        <f>+D63+D124</f>
        <v>2</v>
      </c>
      <c r="E7" s="43">
        <f>+E63+E124</f>
        <v>0</v>
      </c>
      <c r="G7" s="69">
        <f>+B6+B7</f>
        <v>62759</v>
      </c>
    </row>
    <row r="8" spans="1:7" ht="18" thickBot="1" x14ac:dyDescent="0.5">
      <c r="A8" s="46"/>
      <c r="B8" s="75">
        <f>+B6+B7</f>
        <v>62759</v>
      </c>
      <c r="C8" s="75">
        <f>+C6+C7</f>
        <v>2170</v>
      </c>
      <c r="D8" s="75">
        <f>+D6+D7</f>
        <v>28011</v>
      </c>
      <c r="E8" s="75">
        <f>+E6+E7</f>
        <v>32578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7294</v>
      </c>
      <c r="C10" s="66">
        <f>SUM(C11:C20)</f>
        <v>342</v>
      </c>
      <c r="D10" s="67">
        <f>SUM(D11:D20)</f>
        <v>3175</v>
      </c>
      <c r="E10" s="68">
        <f>SUM(E11:E20)</f>
        <v>3777</v>
      </c>
    </row>
    <row r="11" spans="1:7" x14ac:dyDescent="0.25">
      <c r="A11" s="44" t="s">
        <v>30</v>
      </c>
      <c r="B11" s="65">
        <f>+C11+D11+E11</f>
        <v>594</v>
      </c>
      <c r="C11" s="43">
        <f t="shared" ref="C11:C20" si="0">+C66+C127</f>
        <v>27</v>
      </c>
      <c r="D11" s="43">
        <f t="shared" ref="D11:E11" si="1">+D66+D127</f>
        <v>290</v>
      </c>
      <c r="E11" s="43">
        <f t="shared" si="1"/>
        <v>277</v>
      </c>
    </row>
    <row r="12" spans="1:7" x14ac:dyDescent="0.25">
      <c r="A12" s="41" t="s">
        <v>31</v>
      </c>
      <c r="B12" s="65">
        <f t="shared" ref="B12:B20" si="2">+C12+D12+E12</f>
        <v>708</v>
      </c>
      <c r="C12" s="43">
        <f t="shared" si="0"/>
        <v>30</v>
      </c>
      <c r="D12" s="43">
        <f t="shared" ref="D12:E20" si="3">+D67+D128</f>
        <v>326</v>
      </c>
      <c r="E12" s="43">
        <f t="shared" si="3"/>
        <v>352</v>
      </c>
    </row>
    <row r="13" spans="1:7" x14ac:dyDescent="0.25">
      <c r="A13" s="44" t="s">
        <v>32</v>
      </c>
      <c r="B13" s="65">
        <f t="shared" si="2"/>
        <v>713</v>
      </c>
      <c r="C13" s="43">
        <f t="shared" si="0"/>
        <v>44</v>
      </c>
      <c r="D13" s="43">
        <f t="shared" si="3"/>
        <v>309</v>
      </c>
      <c r="E13" s="43">
        <f t="shared" si="3"/>
        <v>360</v>
      </c>
    </row>
    <row r="14" spans="1:7" x14ac:dyDescent="0.25">
      <c r="A14" s="44" t="s">
        <v>33</v>
      </c>
      <c r="B14" s="65">
        <f t="shared" si="2"/>
        <v>714</v>
      </c>
      <c r="C14" s="43">
        <f t="shared" si="0"/>
        <v>40</v>
      </c>
      <c r="D14" s="43">
        <f t="shared" si="3"/>
        <v>309</v>
      </c>
      <c r="E14" s="43">
        <f t="shared" si="3"/>
        <v>365</v>
      </c>
    </row>
    <row r="15" spans="1:7" x14ac:dyDescent="0.25">
      <c r="A15" s="44" t="s">
        <v>34</v>
      </c>
      <c r="B15" s="65">
        <f t="shared" si="2"/>
        <v>724</v>
      </c>
      <c r="C15" s="43">
        <f t="shared" si="0"/>
        <v>34</v>
      </c>
      <c r="D15" s="43">
        <f t="shared" si="3"/>
        <v>312</v>
      </c>
      <c r="E15" s="43">
        <f t="shared" si="3"/>
        <v>378</v>
      </c>
    </row>
    <row r="16" spans="1:7" x14ac:dyDescent="0.25">
      <c r="A16" s="44" t="s">
        <v>35</v>
      </c>
      <c r="B16" s="65">
        <f t="shared" si="2"/>
        <v>794</v>
      </c>
      <c r="C16" s="43">
        <f t="shared" si="0"/>
        <v>39</v>
      </c>
      <c r="D16" s="43">
        <f t="shared" si="3"/>
        <v>332</v>
      </c>
      <c r="E16" s="43">
        <f t="shared" si="3"/>
        <v>423</v>
      </c>
    </row>
    <row r="17" spans="1:7" x14ac:dyDescent="0.25">
      <c r="A17" s="44" t="s">
        <v>36</v>
      </c>
      <c r="B17" s="65">
        <f t="shared" si="2"/>
        <v>829</v>
      </c>
      <c r="C17" s="43">
        <f t="shared" si="0"/>
        <v>32</v>
      </c>
      <c r="D17" s="43">
        <f t="shared" si="3"/>
        <v>347</v>
      </c>
      <c r="E17" s="43">
        <f t="shared" si="3"/>
        <v>450</v>
      </c>
    </row>
    <row r="18" spans="1:7" x14ac:dyDescent="0.25">
      <c r="A18" s="44" t="s">
        <v>37</v>
      </c>
      <c r="B18" s="65">
        <f t="shared" si="2"/>
        <v>741</v>
      </c>
      <c r="C18" s="43">
        <f t="shared" si="0"/>
        <v>33</v>
      </c>
      <c r="D18" s="43">
        <f t="shared" si="3"/>
        <v>332</v>
      </c>
      <c r="E18" s="43">
        <f t="shared" si="3"/>
        <v>376</v>
      </c>
    </row>
    <row r="19" spans="1:7" x14ac:dyDescent="0.25">
      <c r="A19" s="44" t="s">
        <v>38</v>
      </c>
      <c r="B19" s="65">
        <f t="shared" si="2"/>
        <v>753</v>
      </c>
      <c r="C19" s="43">
        <f t="shared" si="0"/>
        <v>32</v>
      </c>
      <c r="D19" s="43">
        <f t="shared" si="3"/>
        <v>314</v>
      </c>
      <c r="E19" s="43">
        <f t="shared" si="3"/>
        <v>407</v>
      </c>
    </row>
    <row r="20" spans="1:7" x14ac:dyDescent="0.25">
      <c r="A20" s="44" t="s">
        <v>39</v>
      </c>
      <c r="B20" s="65">
        <f t="shared" si="2"/>
        <v>724</v>
      </c>
      <c r="C20" s="43">
        <f t="shared" si="0"/>
        <v>31</v>
      </c>
      <c r="D20" s="43">
        <f t="shared" si="3"/>
        <v>304</v>
      </c>
      <c r="E20" s="43">
        <f t="shared" si="3"/>
        <v>389</v>
      </c>
      <c r="G20" s="69">
        <f>SUM(B11:B20)</f>
        <v>7294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7305</v>
      </c>
      <c r="C22" s="39">
        <f>SUM(C23:C28)</f>
        <v>283</v>
      </c>
      <c r="D22" s="39">
        <f>SUM(D23:D28)</f>
        <v>3151</v>
      </c>
      <c r="E22" s="39">
        <f>SUM(E23:E28)</f>
        <v>3871</v>
      </c>
    </row>
    <row r="23" spans="1:7" x14ac:dyDescent="0.25">
      <c r="A23" s="41" t="s">
        <v>41</v>
      </c>
      <c r="B23" s="42">
        <f>+C23+D23+E23</f>
        <v>748</v>
      </c>
      <c r="C23" s="43">
        <f t="shared" ref="C23:C28" si="4">+C78+C139</f>
        <v>37</v>
      </c>
      <c r="D23" s="43">
        <f t="shared" ref="D23:E23" si="5">+D78+D139</f>
        <v>335</v>
      </c>
      <c r="E23" s="43">
        <f t="shared" si="5"/>
        <v>376</v>
      </c>
    </row>
    <row r="24" spans="1:7" x14ac:dyDescent="0.25">
      <c r="A24" s="41" t="s">
        <v>42</v>
      </c>
      <c r="B24" s="42">
        <f t="shared" ref="B24:B28" si="6">+C24+D24+E24</f>
        <v>789</v>
      </c>
      <c r="C24" s="43">
        <f t="shared" si="4"/>
        <v>29</v>
      </c>
      <c r="D24" s="43">
        <f t="shared" ref="D24:E28" si="7">+D79+D140</f>
        <v>327</v>
      </c>
      <c r="E24" s="43">
        <f t="shared" si="7"/>
        <v>433</v>
      </c>
    </row>
    <row r="25" spans="1:7" x14ac:dyDescent="0.25">
      <c r="A25" s="41" t="s">
        <v>43</v>
      </c>
      <c r="B25" s="42">
        <f t="shared" si="6"/>
        <v>765</v>
      </c>
      <c r="C25" s="43">
        <f t="shared" si="4"/>
        <v>29</v>
      </c>
      <c r="D25" s="43">
        <f t="shared" si="7"/>
        <v>339</v>
      </c>
      <c r="E25" s="43">
        <f t="shared" si="7"/>
        <v>397</v>
      </c>
    </row>
    <row r="26" spans="1:7" x14ac:dyDescent="0.25">
      <c r="A26" s="41" t="s">
        <v>44</v>
      </c>
      <c r="B26" s="42">
        <f t="shared" si="6"/>
        <v>728</v>
      </c>
      <c r="C26" s="43">
        <f t="shared" si="4"/>
        <v>27</v>
      </c>
      <c r="D26" s="43">
        <f t="shared" si="7"/>
        <v>313</v>
      </c>
      <c r="E26" s="43">
        <f t="shared" si="7"/>
        <v>388</v>
      </c>
    </row>
    <row r="27" spans="1:7" x14ac:dyDescent="0.25">
      <c r="A27" s="41" t="s">
        <v>45</v>
      </c>
      <c r="B27" s="42">
        <f t="shared" si="6"/>
        <v>700</v>
      </c>
      <c r="C27" s="43">
        <f t="shared" si="4"/>
        <v>28</v>
      </c>
      <c r="D27" s="43">
        <f t="shared" si="7"/>
        <v>284</v>
      </c>
      <c r="E27" s="43">
        <f t="shared" si="7"/>
        <v>388</v>
      </c>
    </row>
    <row r="28" spans="1:7" x14ac:dyDescent="0.25">
      <c r="A28" s="44" t="s">
        <v>46</v>
      </c>
      <c r="B28" s="42">
        <f t="shared" si="6"/>
        <v>3575</v>
      </c>
      <c r="C28" s="43">
        <f t="shared" si="4"/>
        <v>133</v>
      </c>
      <c r="D28" s="43">
        <f t="shared" si="7"/>
        <v>1553</v>
      </c>
      <c r="E28" s="43">
        <f t="shared" si="7"/>
        <v>1889</v>
      </c>
      <c r="G28" s="69">
        <f>SUM(B23:B28)</f>
        <v>7305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48158</v>
      </c>
      <c r="C30" s="39">
        <f>SUM(C31:C43)</f>
        <v>1545</v>
      </c>
      <c r="D30" s="39">
        <f>SUM(D31:D43)</f>
        <v>21683</v>
      </c>
      <c r="E30" s="39">
        <f>SUM(E31:E43)</f>
        <v>24930</v>
      </c>
    </row>
    <row r="31" spans="1:7" x14ac:dyDescent="0.25">
      <c r="A31" s="48" t="s">
        <v>21</v>
      </c>
      <c r="B31" s="42">
        <f>+C31+D31+E31</f>
        <v>4381</v>
      </c>
      <c r="C31" s="43">
        <f t="shared" ref="C31:C43" si="8">+C86+C147</f>
        <v>137</v>
      </c>
      <c r="D31" s="43">
        <f t="shared" ref="D31:E31" si="9">+D86+D147</f>
        <v>2085</v>
      </c>
      <c r="E31" s="43">
        <f t="shared" si="9"/>
        <v>2159</v>
      </c>
    </row>
    <row r="32" spans="1:7" x14ac:dyDescent="0.25">
      <c r="A32" s="48" t="s">
        <v>48</v>
      </c>
      <c r="B32" s="42">
        <f t="shared" ref="B32:B43" si="10">+C32+D32+E32</f>
        <v>4801</v>
      </c>
      <c r="C32" s="43">
        <f t="shared" si="8"/>
        <v>159</v>
      </c>
      <c r="D32" s="43">
        <f t="shared" ref="D32:E43" si="11">+D87+D148</f>
        <v>2252</v>
      </c>
      <c r="E32" s="43">
        <f t="shared" si="11"/>
        <v>2390</v>
      </c>
    </row>
    <row r="33" spans="1:7" x14ac:dyDescent="0.25">
      <c r="A33" s="48" t="s">
        <v>49</v>
      </c>
      <c r="B33" s="42">
        <f t="shared" si="10"/>
        <v>4846</v>
      </c>
      <c r="C33" s="43">
        <f t="shared" si="8"/>
        <v>195</v>
      </c>
      <c r="D33" s="43">
        <f t="shared" si="11"/>
        <v>2231</v>
      </c>
      <c r="E33" s="43">
        <f t="shared" si="11"/>
        <v>2420</v>
      </c>
    </row>
    <row r="34" spans="1:7" x14ac:dyDescent="0.25">
      <c r="A34" s="48" t="s">
        <v>50</v>
      </c>
      <c r="B34" s="42">
        <f t="shared" si="10"/>
        <v>4129</v>
      </c>
      <c r="C34" s="43">
        <f t="shared" si="8"/>
        <v>155</v>
      </c>
      <c r="D34" s="43">
        <f t="shared" si="11"/>
        <v>1845</v>
      </c>
      <c r="E34" s="43">
        <f t="shared" si="11"/>
        <v>2129</v>
      </c>
    </row>
    <row r="35" spans="1:7" x14ac:dyDescent="0.25">
      <c r="A35" s="48" t="s">
        <v>51</v>
      </c>
      <c r="B35" s="42">
        <f t="shared" si="10"/>
        <v>3564</v>
      </c>
      <c r="C35" s="43">
        <f t="shared" si="8"/>
        <v>101</v>
      </c>
      <c r="D35" s="43">
        <f t="shared" si="11"/>
        <v>1623</v>
      </c>
      <c r="E35" s="43">
        <f t="shared" si="11"/>
        <v>1840</v>
      </c>
    </row>
    <row r="36" spans="1:7" x14ac:dyDescent="0.25">
      <c r="A36" s="48" t="s">
        <v>52</v>
      </c>
      <c r="B36" s="42">
        <f t="shared" si="10"/>
        <v>3678</v>
      </c>
      <c r="C36" s="43">
        <f t="shared" si="8"/>
        <v>117</v>
      </c>
      <c r="D36" s="43">
        <f t="shared" si="11"/>
        <v>1665</v>
      </c>
      <c r="E36" s="43">
        <f t="shared" si="11"/>
        <v>1896</v>
      </c>
    </row>
    <row r="37" spans="1:7" x14ac:dyDescent="0.25">
      <c r="A37" s="48" t="s">
        <v>53</v>
      </c>
      <c r="B37" s="42">
        <f t="shared" si="10"/>
        <v>3665</v>
      </c>
      <c r="C37" s="43">
        <f t="shared" si="8"/>
        <v>103</v>
      </c>
      <c r="D37" s="43">
        <f t="shared" si="11"/>
        <v>1691</v>
      </c>
      <c r="E37" s="43">
        <f t="shared" si="11"/>
        <v>1871</v>
      </c>
    </row>
    <row r="38" spans="1:7" x14ac:dyDescent="0.25">
      <c r="A38" s="48" t="s">
        <v>54</v>
      </c>
      <c r="B38" s="42">
        <f t="shared" si="10"/>
        <v>3948</v>
      </c>
      <c r="C38" s="43">
        <f t="shared" si="8"/>
        <v>130</v>
      </c>
      <c r="D38" s="43">
        <f t="shared" si="11"/>
        <v>1709</v>
      </c>
      <c r="E38" s="43">
        <f t="shared" si="11"/>
        <v>2109</v>
      </c>
    </row>
    <row r="39" spans="1:7" x14ac:dyDescent="0.25">
      <c r="A39" s="48" t="s">
        <v>55</v>
      </c>
      <c r="B39" s="42">
        <f t="shared" si="10"/>
        <v>3782</v>
      </c>
      <c r="C39" s="43">
        <f t="shared" si="8"/>
        <v>112</v>
      </c>
      <c r="D39" s="43">
        <f t="shared" si="11"/>
        <v>1600</v>
      </c>
      <c r="E39" s="43">
        <f t="shared" si="11"/>
        <v>2070</v>
      </c>
    </row>
    <row r="40" spans="1:7" x14ac:dyDescent="0.25">
      <c r="A40" s="49" t="s">
        <v>56</v>
      </c>
      <c r="B40" s="42">
        <f t="shared" si="10"/>
        <v>3014</v>
      </c>
      <c r="C40" s="43">
        <f t="shared" si="8"/>
        <v>78</v>
      </c>
      <c r="D40" s="43">
        <f t="shared" si="11"/>
        <v>1309</v>
      </c>
      <c r="E40" s="43">
        <f t="shared" si="11"/>
        <v>1627</v>
      </c>
    </row>
    <row r="41" spans="1:7" x14ac:dyDescent="0.25">
      <c r="A41" s="48" t="s">
        <v>57</v>
      </c>
      <c r="B41" s="42">
        <f t="shared" si="10"/>
        <v>2723</v>
      </c>
      <c r="C41" s="43">
        <f t="shared" si="8"/>
        <v>94</v>
      </c>
      <c r="D41" s="43">
        <f t="shared" si="11"/>
        <v>1185</v>
      </c>
      <c r="E41" s="43">
        <f t="shared" si="11"/>
        <v>1444</v>
      </c>
    </row>
    <row r="42" spans="1:7" x14ac:dyDescent="0.25">
      <c r="A42" s="48" t="s">
        <v>58</v>
      </c>
      <c r="B42" s="42">
        <f t="shared" si="10"/>
        <v>2164</v>
      </c>
      <c r="C42" s="43">
        <f t="shared" si="8"/>
        <v>68</v>
      </c>
      <c r="D42" s="43">
        <f t="shared" si="11"/>
        <v>991</v>
      </c>
      <c r="E42" s="43">
        <f t="shared" si="11"/>
        <v>1105</v>
      </c>
    </row>
    <row r="43" spans="1:7" x14ac:dyDescent="0.25">
      <c r="A43" s="48" t="s">
        <v>59</v>
      </c>
      <c r="B43" s="42">
        <f t="shared" si="10"/>
        <v>3463</v>
      </c>
      <c r="C43" s="43">
        <f t="shared" si="8"/>
        <v>96</v>
      </c>
      <c r="D43" s="43">
        <f t="shared" si="11"/>
        <v>1497</v>
      </c>
      <c r="E43" s="43">
        <f t="shared" si="11"/>
        <v>1870</v>
      </c>
      <c r="G43" s="69">
        <f>SUM(B31:B43)</f>
        <v>48158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57"/>
      <c r="B46" s="57"/>
      <c r="C46" s="58"/>
      <c r="D46" s="58"/>
      <c r="E46" s="58"/>
    </row>
    <row r="47" spans="1:7" x14ac:dyDescent="0.25">
      <c r="A47" s="57"/>
      <c r="B47" s="57"/>
      <c r="C47" s="58"/>
      <c r="D47" s="58"/>
      <c r="E47" s="58"/>
    </row>
    <row r="48" spans="1:7" x14ac:dyDescent="0.25">
      <c r="A48" s="30"/>
      <c r="B48" s="30"/>
      <c r="C48" s="40"/>
      <c r="D48" s="40"/>
      <c r="E48" s="40"/>
    </row>
    <row r="49" spans="1:7" x14ac:dyDescent="0.25">
      <c r="A49" s="30"/>
      <c r="B49" s="30"/>
      <c r="C49" s="40"/>
      <c r="D49" s="40"/>
      <c r="E49" s="40"/>
    </row>
    <row r="50" spans="1:7" x14ac:dyDescent="0.25">
      <c r="A50" s="30"/>
      <c r="B50" s="30"/>
      <c r="C50" s="40"/>
      <c r="D50" s="40"/>
      <c r="E50" s="40"/>
    </row>
    <row r="51" spans="1:7" x14ac:dyDescent="0.25">
      <c r="A51" s="30"/>
      <c r="B51" s="30"/>
      <c r="C51" s="40"/>
      <c r="D51" s="40"/>
      <c r="E51" s="40"/>
    </row>
    <row r="52" spans="1:7" x14ac:dyDescent="0.25">
      <c r="A52" s="30"/>
      <c r="B52" s="30"/>
      <c r="C52" s="40"/>
      <c r="D52" s="40"/>
      <c r="E52" s="40"/>
    </row>
    <row r="53" spans="1:7" x14ac:dyDescent="0.25">
      <c r="A53" s="30"/>
      <c r="B53" s="30"/>
      <c r="C53" s="40"/>
      <c r="D53" s="40"/>
      <c r="E53" s="40"/>
    </row>
    <row r="54" spans="1:7" x14ac:dyDescent="0.25">
      <c r="A54" s="30"/>
      <c r="B54" s="30"/>
      <c r="C54" s="40"/>
      <c r="D54" s="40"/>
      <c r="E54" s="40"/>
    </row>
    <row r="55" spans="1:7" x14ac:dyDescent="0.25">
      <c r="A55" s="30"/>
      <c r="B55" s="30"/>
      <c r="C55" s="40"/>
      <c r="D55" s="40"/>
      <c r="E55" s="40"/>
    </row>
    <row r="56" spans="1:7" x14ac:dyDescent="0.25">
      <c r="A56" s="30"/>
      <c r="B56" s="30"/>
      <c r="C56" s="40"/>
      <c r="D56" s="40"/>
      <c r="E56" s="40"/>
    </row>
    <row r="57" spans="1:7" x14ac:dyDescent="0.25">
      <c r="A57" s="30"/>
      <c r="B57" s="30"/>
      <c r="C57" s="40"/>
      <c r="D57" s="40"/>
      <c r="E57" s="40"/>
    </row>
    <row r="58" spans="1:7" x14ac:dyDescent="0.25">
      <c r="A58" s="30"/>
      <c r="B58" s="30"/>
      <c r="C58" s="40"/>
      <c r="D58" s="40"/>
      <c r="E58" s="40"/>
    </row>
    <row r="59" spans="1:7" x14ac:dyDescent="0.25">
      <c r="A59" s="30"/>
      <c r="B59" s="30"/>
      <c r="C59" s="40"/>
      <c r="D59" s="40"/>
      <c r="E59" s="40"/>
    </row>
    <row r="60" spans="1:7" ht="17.399999999999999" x14ac:dyDescent="0.3">
      <c r="A60" s="83" t="s">
        <v>104</v>
      </c>
      <c r="B60" s="84"/>
      <c r="C60" s="84"/>
      <c r="D60" s="84"/>
      <c r="E60" s="84"/>
    </row>
    <row r="61" spans="1:7" ht="13.8" thickBot="1" x14ac:dyDescent="0.3">
      <c r="A61" s="52"/>
      <c r="B61" s="30"/>
      <c r="C61" s="40"/>
      <c r="D61" s="40"/>
      <c r="E61" s="40"/>
    </row>
    <row r="62" spans="1:7" ht="13.8" thickBot="1" x14ac:dyDescent="0.3">
      <c r="A62" s="37" t="s">
        <v>61</v>
      </c>
      <c r="B62" s="38">
        <f>+C62+D62+E62</f>
        <v>35275</v>
      </c>
      <c r="C62" s="39">
        <f>+C65+C77+C85+C63</f>
        <v>1225</v>
      </c>
      <c r="D62" s="39">
        <f>+D65+D77+D85+D63</f>
        <v>15452</v>
      </c>
      <c r="E62" s="39">
        <f>+E65+E77+E85</f>
        <v>18598</v>
      </c>
    </row>
    <row r="63" spans="1:7" x14ac:dyDescent="0.25">
      <c r="A63" s="44" t="s">
        <v>62</v>
      </c>
      <c r="B63" s="42">
        <f>+C63+D63+E63</f>
        <v>0</v>
      </c>
      <c r="C63" s="43">
        <v>0</v>
      </c>
      <c r="D63" s="43">
        <v>0</v>
      </c>
      <c r="E63" s="43">
        <v>0</v>
      </c>
      <c r="G63" s="69">
        <f>+B62+B63</f>
        <v>35275</v>
      </c>
    </row>
    <row r="64" spans="1:7" ht="13.8" thickBot="1" x14ac:dyDescent="0.3">
      <c r="A64" s="30"/>
      <c r="B64" s="30"/>
      <c r="C64" s="40"/>
      <c r="D64" s="40"/>
      <c r="E64" s="40"/>
    </row>
    <row r="65" spans="1:7" ht="13.8" thickBot="1" x14ac:dyDescent="0.3">
      <c r="A65" s="37" t="s">
        <v>28</v>
      </c>
      <c r="B65" s="38">
        <f>+C65+D65+E65</f>
        <v>3576</v>
      </c>
      <c r="C65" s="39">
        <f>SUM(C66:C75)</f>
        <v>171</v>
      </c>
      <c r="D65" s="39">
        <f>SUM(D66:D75)</f>
        <v>1566</v>
      </c>
      <c r="E65" s="39">
        <f>SUM(E66:E75)</f>
        <v>1839</v>
      </c>
    </row>
    <row r="66" spans="1:7" x14ac:dyDescent="0.25">
      <c r="A66" s="44" t="s">
        <v>30</v>
      </c>
      <c r="B66" s="42">
        <f>+C66+D66+E66</f>
        <v>294</v>
      </c>
      <c r="C66" s="45">
        <v>14</v>
      </c>
      <c r="D66" s="45">
        <v>143</v>
      </c>
      <c r="E66" s="45">
        <v>137</v>
      </c>
    </row>
    <row r="67" spans="1:7" x14ac:dyDescent="0.25">
      <c r="A67" s="41" t="s">
        <v>31</v>
      </c>
      <c r="B67" s="42">
        <f t="shared" ref="B67:B75" si="12">+C67+D67+E67</f>
        <v>324</v>
      </c>
      <c r="C67" s="45">
        <v>13</v>
      </c>
      <c r="D67" s="45">
        <v>140</v>
      </c>
      <c r="E67" s="45">
        <v>171</v>
      </c>
    </row>
    <row r="68" spans="1:7" x14ac:dyDescent="0.25">
      <c r="A68" s="44" t="s">
        <v>32</v>
      </c>
      <c r="B68" s="42">
        <f t="shared" si="12"/>
        <v>351</v>
      </c>
      <c r="C68" s="45">
        <v>21</v>
      </c>
      <c r="D68" s="45">
        <v>151</v>
      </c>
      <c r="E68" s="45">
        <v>179</v>
      </c>
    </row>
    <row r="69" spans="1:7" x14ac:dyDescent="0.25">
      <c r="A69" s="44" t="s">
        <v>33</v>
      </c>
      <c r="B69" s="42">
        <f t="shared" si="12"/>
        <v>361</v>
      </c>
      <c r="C69" s="45">
        <v>21</v>
      </c>
      <c r="D69" s="45">
        <v>171</v>
      </c>
      <c r="E69" s="45">
        <v>169</v>
      </c>
    </row>
    <row r="70" spans="1:7" x14ac:dyDescent="0.25">
      <c r="A70" s="44" t="s">
        <v>34</v>
      </c>
      <c r="B70" s="42">
        <f t="shared" si="12"/>
        <v>338</v>
      </c>
      <c r="C70" s="45">
        <v>17</v>
      </c>
      <c r="D70" s="45">
        <v>141</v>
      </c>
      <c r="E70" s="45">
        <v>180</v>
      </c>
    </row>
    <row r="71" spans="1:7" x14ac:dyDescent="0.25">
      <c r="A71" s="44" t="s">
        <v>35</v>
      </c>
      <c r="B71" s="42">
        <f t="shared" si="12"/>
        <v>380</v>
      </c>
      <c r="C71" s="45">
        <v>17</v>
      </c>
      <c r="D71" s="45">
        <v>168</v>
      </c>
      <c r="E71" s="45">
        <v>195</v>
      </c>
    </row>
    <row r="72" spans="1:7" x14ac:dyDescent="0.25">
      <c r="A72" s="44" t="s">
        <v>36</v>
      </c>
      <c r="B72" s="42">
        <f t="shared" si="12"/>
        <v>419</v>
      </c>
      <c r="C72" s="45">
        <v>15</v>
      </c>
      <c r="D72" s="45">
        <v>183</v>
      </c>
      <c r="E72" s="45">
        <v>221</v>
      </c>
    </row>
    <row r="73" spans="1:7" x14ac:dyDescent="0.25">
      <c r="A73" s="44" t="s">
        <v>37</v>
      </c>
      <c r="B73" s="42">
        <f t="shared" si="12"/>
        <v>380</v>
      </c>
      <c r="C73" s="45">
        <v>20</v>
      </c>
      <c r="D73" s="45">
        <v>172</v>
      </c>
      <c r="E73" s="45">
        <v>188</v>
      </c>
    </row>
    <row r="74" spans="1:7" x14ac:dyDescent="0.25">
      <c r="A74" s="44" t="s">
        <v>38</v>
      </c>
      <c r="B74" s="42">
        <f t="shared" si="12"/>
        <v>365</v>
      </c>
      <c r="C74" s="45">
        <v>18</v>
      </c>
      <c r="D74" s="45">
        <v>155</v>
      </c>
      <c r="E74" s="45">
        <v>192</v>
      </c>
    </row>
    <row r="75" spans="1:7" x14ac:dyDescent="0.25">
      <c r="A75" s="44" t="s">
        <v>39</v>
      </c>
      <c r="B75" s="42">
        <f t="shared" si="12"/>
        <v>364</v>
      </c>
      <c r="C75" s="45">
        <v>15</v>
      </c>
      <c r="D75" s="45">
        <v>142</v>
      </c>
      <c r="E75" s="45">
        <v>207</v>
      </c>
      <c r="G75" s="69">
        <f>SUM(B66:B75)</f>
        <v>3576</v>
      </c>
    </row>
    <row r="76" spans="1:7" ht="13.8" thickBot="1" x14ac:dyDescent="0.3">
      <c r="A76" s="46"/>
      <c r="B76" s="30"/>
      <c r="C76" s="40"/>
      <c r="D76" s="40"/>
      <c r="E76" s="40"/>
    </row>
    <row r="77" spans="1:7" ht="13.8" thickBot="1" x14ac:dyDescent="0.3">
      <c r="A77" s="37" t="s">
        <v>40</v>
      </c>
      <c r="B77" s="38">
        <f>+C77+D77+E77</f>
        <v>3667</v>
      </c>
      <c r="C77" s="39">
        <f>SUM(C78:C83)</f>
        <v>126</v>
      </c>
      <c r="D77" s="39">
        <f>SUM(D78:D83)</f>
        <v>1562</v>
      </c>
      <c r="E77" s="39">
        <f>SUM(E78:E83)</f>
        <v>1979</v>
      </c>
    </row>
    <row r="78" spans="1:7" x14ac:dyDescent="0.25">
      <c r="A78" s="41" t="s">
        <v>41</v>
      </c>
      <c r="B78" s="42">
        <f>+C78+D78+E78</f>
        <v>359</v>
      </c>
      <c r="C78" s="43">
        <v>15</v>
      </c>
      <c r="D78" s="43">
        <v>158</v>
      </c>
      <c r="E78" s="43">
        <v>186</v>
      </c>
    </row>
    <row r="79" spans="1:7" x14ac:dyDescent="0.25">
      <c r="A79" s="41" t="s">
        <v>42</v>
      </c>
      <c r="B79" s="42">
        <f t="shared" ref="B79:B83" si="13">+C79+D79+E79</f>
        <v>378</v>
      </c>
      <c r="C79" s="45">
        <v>10</v>
      </c>
      <c r="D79" s="45">
        <v>162</v>
      </c>
      <c r="E79" s="45">
        <v>206</v>
      </c>
    </row>
    <row r="80" spans="1:7" x14ac:dyDescent="0.25">
      <c r="A80" s="41" t="s">
        <v>43</v>
      </c>
      <c r="B80" s="42">
        <f t="shared" si="13"/>
        <v>367</v>
      </c>
      <c r="C80" s="45">
        <v>8</v>
      </c>
      <c r="D80" s="45">
        <v>162</v>
      </c>
      <c r="E80" s="45">
        <v>197</v>
      </c>
    </row>
    <row r="81" spans="1:7" x14ac:dyDescent="0.25">
      <c r="A81" s="41" t="s">
        <v>44</v>
      </c>
      <c r="B81" s="42">
        <f t="shared" si="13"/>
        <v>381</v>
      </c>
      <c r="C81" s="45">
        <v>16</v>
      </c>
      <c r="D81" s="45">
        <v>168</v>
      </c>
      <c r="E81" s="45">
        <v>197</v>
      </c>
    </row>
    <row r="82" spans="1:7" x14ac:dyDescent="0.25">
      <c r="A82" s="41" t="s">
        <v>45</v>
      </c>
      <c r="B82" s="42">
        <f t="shared" si="13"/>
        <v>373</v>
      </c>
      <c r="C82" s="45">
        <v>11</v>
      </c>
      <c r="D82" s="45">
        <v>141</v>
      </c>
      <c r="E82" s="45">
        <v>221</v>
      </c>
    </row>
    <row r="83" spans="1:7" x14ac:dyDescent="0.25">
      <c r="A83" s="44" t="s">
        <v>46</v>
      </c>
      <c r="B83" s="42">
        <f t="shared" si="13"/>
        <v>1809</v>
      </c>
      <c r="C83" s="45">
        <f>13+17+9+10+17</f>
        <v>66</v>
      </c>
      <c r="D83" s="45">
        <f>138+145+165+149+174</f>
        <v>771</v>
      </c>
      <c r="E83" s="45">
        <v>972</v>
      </c>
      <c r="G83" s="69">
        <f>SUM(B78:B83)</f>
        <v>3667</v>
      </c>
    </row>
    <row r="84" spans="1:7" ht="13.8" thickBot="1" x14ac:dyDescent="0.3">
      <c r="A84" s="47"/>
      <c r="B84" s="30"/>
      <c r="C84" s="40"/>
      <c r="D84" s="40"/>
      <c r="E84" s="40"/>
    </row>
    <row r="85" spans="1:7" ht="13.8" thickBot="1" x14ac:dyDescent="0.3">
      <c r="A85" s="37" t="s">
        <v>47</v>
      </c>
      <c r="B85" s="38">
        <f>+C85+D85+E85</f>
        <v>28032</v>
      </c>
      <c r="C85" s="39">
        <f>SUM(C86:C98)</f>
        <v>928</v>
      </c>
      <c r="D85" s="39">
        <f>SUM(D86:D98)</f>
        <v>12324</v>
      </c>
      <c r="E85" s="39">
        <f>SUM(E86:E98)</f>
        <v>14780</v>
      </c>
    </row>
    <row r="86" spans="1:7" x14ac:dyDescent="0.25">
      <c r="A86" s="48" t="s">
        <v>21</v>
      </c>
      <c r="B86" s="42">
        <f>+C86+D86+E86</f>
        <v>2351</v>
      </c>
      <c r="C86" s="43">
        <f>15+16+16+19+17</f>
        <v>83</v>
      </c>
      <c r="D86" s="43">
        <f>187+186+249+228+264</f>
        <v>1114</v>
      </c>
      <c r="E86" s="43">
        <v>1154</v>
      </c>
    </row>
    <row r="87" spans="1:7" x14ac:dyDescent="0.25">
      <c r="A87" s="48" t="s">
        <v>48</v>
      </c>
      <c r="B87" s="42">
        <f t="shared" ref="B87:B98" si="14">+C87+D87+E87</f>
        <v>2752</v>
      </c>
      <c r="C87" s="45">
        <f>18+25+20+22+20</f>
        <v>105</v>
      </c>
      <c r="D87" s="45">
        <f>246+230+229+244+278</f>
        <v>1227</v>
      </c>
      <c r="E87" s="45">
        <v>1420</v>
      </c>
    </row>
    <row r="88" spans="1:7" x14ac:dyDescent="0.25">
      <c r="A88" s="48" t="s">
        <v>49</v>
      </c>
      <c r="B88" s="42">
        <f t="shared" si="14"/>
        <v>2834</v>
      </c>
      <c r="C88" s="45">
        <f>24+31+28+18+29</f>
        <v>130</v>
      </c>
      <c r="D88" s="45">
        <f>267+268+260+242+234</f>
        <v>1271</v>
      </c>
      <c r="E88" s="45">
        <v>1433</v>
      </c>
    </row>
    <row r="89" spans="1:7" x14ac:dyDescent="0.25">
      <c r="A89" s="48" t="s">
        <v>50</v>
      </c>
      <c r="B89" s="42">
        <f t="shared" si="14"/>
        <v>2422</v>
      </c>
      <c r="C89" s="45">
        <f>18+17+15+24+19</f>
        <v>93</v>
      </c>
      <c r="D89" s="45">
        <f>197+202+209+220+216</f>
        <v>1044</v>
      </c>
      <c r="E89" s="45">
        <v>1285</v>
      </c>
    </row>
    <row r="90" spans="1:7" x14ac:dyDescent="0.25">
      <c r="A90" s="48" t="s">
        <v>51</v>
      </c>
      <c r="B90" s="42">
        <f t="shared" si="14"/>
        <v>2047</v>
      </c>
      <c r="C90" s="45">
        <f>10+20+10+9+11</f>
        <v>60</v>
      </c>
      <c r="D90" s="45">
        <f>214+192+155+173+189</f>
        <v>923</v>
      </c>
      <c r="E90" s="45">
        <v>1064</v>
      </c>
    </row>
    <row r="91" spans="1:7" x14ac:dyDescent="0.25">
      <c r="A91" s="48" t="s">
        <v>52</v>
      </c>
      <c r="B91" s="42">
        <f t="shared" si="14"/>
        <v>2074</v>
      </c>
      <c r="C91" s="45">
        <f>16+12+10+10+18</f>
        <v>66</v>
      </c>
      <c r="D91" s="45">
        <f>172+186+196+168+190</f>
        <v>912</v>
      </c>
      <c r="E91" s="45">
        <v>1096</v>
      </c>
    </row>
    <row r="92" spans="1:7" x14ac:dyDescent="0.25">
      <c r="A92" s="48" t="s">
        <v>53</v>
      </c>
      <c r="B92" s="42">
        <f t="shared" si="14"/>
        <v>2160</v>
      </c>
      <c r="C92" s="45">
        <f>12+10+9+19+12</f>
        <v>62</v>
      </c>
      <c r="D92" s="45">
        <f>208+185+189+217+191</f>
        <v>990</v>
      </c>
      <c r="E92" s="45">
        <v>1108</v>
      </c>
    </row>
    <row r="93" spans="1:7" x14ac:dyDescent="0.25">
      <c r="A93" s="48" t="s">
        <v>54</v>
      </c>
      <c r="B93" s="42">
        <f t="shared" si="14"/>
        <v>2254</v>
      </c>
      <c r="C93" s="45">
        <f>16+21+6+13+13</f>
        <v>69</v>
      </c>
      <c r="D93" s="45">
        <f>184+188+205+200+197</f>
        <v>974</v>
      </c>
      <c r="E93" s="45">
        <v>1211</v>
      </c>
    </row>
    <row r="94" spans="1:7" x14ac:dyDescent="0.25">
      <c r="A94" s="48" t="s">
        <v>55</v>
      </c>
      <c r="B94" s="42">
        <f t="shared" si="14"/>
        <v>2172</v>
      </c>
      <c r="C94" s="45">
        <f>19+13+7+10+12</f>
        <v>61</v>
      </c>
      <c r="D94" s="45">
        <f>189+198+176+171+166</f>
        <v>900</v>
      </c>
      <c r="E94" s="45">
        <v>1211</v>
      </c>
    </row>
    <row r="95" spans="1:7" x14ac:dyDescent="0.25">
      <c r="A95" s="49" t="s">
        <v>56</v>
      </c>
      <c r="B95" s="42">
        <f t="shared" si="14"/>
        <v>1742</v>
      </c>
      <c r="C95" s="45">
        <f>13+6+5+13+7</f>
        <v>44</v>
      </c>
      <c r="D95" s="45">
        <f>168+158+145+142+151</f>
        <v>764</v>
      </c>
      <c r="E95" s="45">
        <v>934</v>
      </c>
    </row>
    <row r="96" spans="1:7" x14ac:dyDescent="0.25">
      <c r="A96" s="48" t="s">
        <v>57</v>
      </c>
      <c r="B96" s="42">
        <f t="shared" si="14"/>
        <v>1627</v>
      </c>
      <c r="C96" s="45">
        <f>15+6+10+14+11</f>
        <v>56</v>
      </c>
      <c r="D96" s="45">
        <f>143+147+134+139+128</f>
        <v>691</v>
      </c>
      <c r="E96" s="45">
        <v>880</v>
      </c>
    </row>
    <row r="97" spans="1:7" x14ac:dyDescent="0.25">
      <c r="A97" s="48" t="s">
        <v>58</v>
      </c>
      <c r="B97" s="42">
        <f t="shared" si="14"/>
        <v>1292</v>
      </c>
      <c r="C97" s="45">
        <f>7+11+10+8+7</f>
        <v>43</v>
      </c>
      <c r="D97" s="45">
        <f>131+108+107+115+100</f>
        <v>561</v>
      </c>
      <c r="E97" s="45">
        <v>688</v>
      </c>
    </row>
    <row r="98" spans="1:7" x14ac:dyDescent="0.25">
      <c r="A98" s="48" t="s">
        <v>59</v>
      </c>
      <c r="B98" s="42">
        <f t="shared" si="14"/>
        <v>2305</v>
      </c>
      <c r="C98" s="45">
        <f>8+5+8+3+1+5+7+3+4+3+5+2+1+1</f>
        <v>56</v>
      </c>
      <c r="D98" s="45">
        <f>115+91+95+78+71+59+53+61+66+42+44+37+37+26+12+11+9+12+9+2+2+2+2+4+1+1+4+2+1+3+1</f>
        <v>953</v>
      </c>
      <c r="E98" s="45">
        <v>1296</v>
      </c>
      <c r="G98" s="69">
        <f>SUM(B86:B98)</f>
        <v>28032</v>
      </c>
    </row>
    <row r="100" spans="1:7" x14ac:dyDescent="0.25">
      <c r="A100" s="56"/>
      <c r="B100" s="56"/>
      <c r="C100" s="56"/>
      <c r="D100" s="56"/>
      <c r="E100" s="56"/>
    </row>
    <row r="101" spans="1:7" x14ac:dyDescent="0.25">
      <c r="A101" s="56"/>
      <c r="B101" s="56"/>
      <c r="C101" s="56"/>
      <c r="D101" s="56"/>
      <c r="E101" s="56"/>
    </row>
    <row r="121" spans="1:7" ht="17.399999999999999" x14ac:dyDescent="0.3">
      <c r="A121" s="83" t="s">
        <v>105</v>
      </c>
      <c r="B121" s="84"/>
      <c r="C121" s="84"/>
      <c r="D121" s="84"/>
      <c r="E121" s="84"/>
    </row>
    <row r="122" spans="1:7" ht="13.8" thickBot="1" x14ac:dyDescent="0.3">
      <c r="A122" s="52"/>
      <c r="B122" s="30"/>
      <c r="C122" s="40"/>
      <c r="D122" s="40"/>
      <c r="E122" s="40"/>
    </row>
    <row r="123" spans="1:7" ht="13.8" thickBot="1" x14ac:dyDescent="0.3">
      <c r="A123" s="37" t="s">
        <v>64</v>
      </c>
      <c r="B123" s="38">
        <f>+C123+D123+E123</f>
        <v>27484</v>
      </c>
      <c r="C123" s="39">
        <f>+C126+C138+C146+C124</f>
        <v>945</v>
      </c>
      <c r="D123" s="39">
        <f>+D126+D138+D146+D124</f>
        <v>12559</v>
      </c>
      <c r="E123" s="39">
        <f>+E126+E138+E146</f>
        <v>13980</v>
      </c>
    </row>
    <row r="124" spans="1:7" x14ac:dyDescent="0.25">
      <c r="A124" s="44" t="s">
        <v>62</v>
      </c>
      <c r="B124" s="42">
        <f>+C124+D124+E124</f>
        <v>2</v>
      </c>
      <c r="C124" s="43">
        <v>0</v>
      </c>
      <c r="D124" s="43">
        <v>2</v>
      </c>
      <c r="E124" s="43">
        <v>0</v>
      </c>
      <c r="G124" s="69">
        <f>+B123+B124</f>
        <v>27486</v>
      </c>
    </row>
    <row r="125" spans="1:7" ht="13.8" thickBot="1" x14ac:dyDescent="0.3">
      <c r="A125" s="30"/>
      <c r="B125" s="30"/>
      <c r="C125" s="40"/>
      <c r="D125" s="40"/>
      <c r="E125" s="40"/>
    </row>
    <row r="126" spans="1:7" ht="13.8" thickBot="1" x14ac:dyDescent="0.3">
      <c r="A126" s="37" t="s">
        <v>28</v>
      </c>
      <c r="B126" s="38">
        <f>+C126+D126+E126</f>
        <v>3718</v>
      </c>
      <c r="C126" s="39">
        <f>SUM(C127:C136)</f>
        <v>171</v>
      </c>
      <c r="D126" s="39">
        <f>SUM(D127:D136)</f>
        <v>1609</v>
      </c>
      <c r="E126" s="39">
        <f>SUM(E127:E136)</f>
        <v>1938</v>
      </c>
    </row>
    <row r="127" spans="1:7" x14ac:dyDescent="0.25">
      <c r="A127" s="44" t="s">
        <v>30</v>
      </c>
      <c r="B127" s="42">
        <f t="shared" ref="B127:B136" si="15">+C127+D127+E127</f>
        <v>300</v>
      </c>
      <c r="C127" s="45">
        <v>13</v>
      </c>
      <c r="D127" s="45">
        <v>147</v>
      </c>
      <c r="E127" s="45">
        <v>140</v>
      </c>
    </row>
    <row r="128" spans="1:7" x14ac:dyDescent="0.25">
      <c r="A128" s="41" t="s">
        <v>31</v>
      </c>
      <c r="B128" s="42">
        <f t="shared" si="15"/>
        <v>384</v>
      </c>
      <c r="C128" s="45">
        <v>17</v>
      </c>
      <c r="D128" s="45">
        <v>186</v>
      </c>
      <c r="E128" s="45">
        <v>181</v>
      </c>
    </row>
    <row r="129" spans="1:7" x14ac:dyDescent="0.25">
      <c r="A129" s="44" t="s">
        <v>32</v>
      </c>
      <c r="B129" s="42">
        <f t="shared" si="15"/>
        <v>362</v>
      </c>
      <c r="C129" s="45">
        <v>23</v>
      </c>
      <c r="D129" s="45">
        <v>158</v>
      </c>
      <c r="E129" s="45">
        <v>181</v>
      </c>
    </row>
    <row r="130" spans="1:7" x14ac:dyDescent="0.25">
      <c r="A130" s="44" t="s">
        <v>33</v>
      </c>
      <c r="B130" s="42">
        <f t="shared" si="15"/>
        <v>353</v>
      </c>
      <c r="C130" s="45">
        <v>19</v>
      </c>
      <c r="D130" s="45">
        <v>138</v>
      </c>
      <c r="E130" s="45">
        <v>196</v>
      </c>
    </row>
    <row r="131" spans="1:7" x14ac:dyDescent="0.25">
      <c r="A131" s="44" t="s">
        <v>34</v>
      </c>
      <c r="B131" s="42">
        <f t="shared" si="15"/>
        <v>386</v>
      </c>
      <c r="C131" s="45">
        <v>17</v>
      </c>
      <c r="D131" s="45">
        <v>171</v>
      </c>
      <c r="E131" s="45">
        <v>198</v>
      </c>
    </row>
    <row r="132" spans="1:7" x14ac:dyDescent="0.25">
      <c r="A132" s="44" t="s">
        <v>35</v>
      </c>
      <c r="B132" s="42">
        <f t="shared" si="15"/>
        <v>414</v>
      </c>
      <c r="C132" s="45">
        <v>22</v>
      </c>
      <c r="D132" s="45">
        <v>164</v>
      </c>
      <c r="E132" s="45">
        <v>228</v>
      </c>
    </row>
    <row r="133" spans="1:7" x14ac:dyDescent="0.25">
      <c r="A133" s="44" t="s">
        <v>36</v>
      </c>
      <c r="B133" s="42">
        <f t="shared" si="15"/>
        <v>410</v>
      </c>
      <c r="C133" s="45">
        <v>17</v>
      </c>
      <c r="D133" s="45">
        <v>164</v>
      </c>
      <c r="E133" s="45">
        <v>229</v>
      </c>
    </row>
    <row r="134" spans="1:7" x14ac:dyDescent="0.25">
      <c r="A134" s="44" t="s">
        <v>37</v>
      </c>
      <c r="B134" s="42">
        <f t="shared" si="15"/>
        <v>361</v>
      </c>
      <c r="C134" s="45">
        <v>13</v>
      </c>
      <c r="D134" s="45">
        <v>160</v>
      </c>
      <c r="E134" s="45">
        <v>188</v>
      </c>
    </row>
    <row r="135" spans="1:7" x14ac:dyDescent="0.25">
      <c r="A135" s="44" t="s">
        <v>38</v>
      </c>
      <c r="B135" s="42">
        <f t="shared" si="15"/>
        <v>388</v>
      </c>
      <c r="C135" s="45">
        <v>14</v>
      </c>
      <c r="D135" s="45">
        <v>159</v>
      </c>
      <c r="E135" s="45">
        <v>215</v>
      </c>
    </row>
    <row r="136" spans="1:7" x14ac:dyDescent="0.25">
      <c r="A136" s="44" t="s">
        <v>39</v>
      </c>
      <c r="B136" s="42">
        <f t="shared" si="15"/>
        <v>360</v>
      </c>
      <c r="C136" s="45">
        <v>16</v>
      </c>
      <c r="D136" s="45">
        <v>162</v>
      </c>
      <c r="E136" s="45">
        <v>182</v>
      </c>
      <c r="G136" s="69">
        <f>SUM(B127:B136)</f>
        <v>3718</v>
      </c>
    </row>
    <row r="137" spans="1:7" ht="13.8" thickBot="1" x14ac:dyDescent="0.3">
      <c r="A137" s="46"/>
      <c r="B137" s="30"/>
      <c r="C137" s="40"/>
      <c r="D137" s="40"/>
      <c r="E137" s="40"/>
    </row>
    <row r="138" spans="1:7" ht="13.8" thickBot="1" x14ac:dyDescent="0.3">
      <c r="A138" s="37" t="s">
        <v>40</v>
      </c>
      <c r="B138" s="38">
        <f>+C138+D138+E138</f>
        <v>3638</v>
      </c>
      <c r="C138" s="39">
        <f>SUM(C139:C144)</f>
        <v>157</v>
      </c>
      <c r="D138" s="39">
        <f t="shared" ref="D138:E138" si="16">SUM(D139:D144)</f>
        <v>1589</v>
      </c>
      <c r="E138" s="39">
        <f t="shared" si="16"/>
        <v>1892</v>
      </c>
    </row>
    <row r="139" spans="1:7" x14ac:dyDescent="0.25">
      <c r="A139" s="41" t="s">
        <v>41</v>
      </c>
      <c r="B139" s="42">
        <f t="shared" ref="B139:B144" si="17">+C139+D139+E139</f>
        <v>389</v>
      </c>
      <c r="C139" s="43">
        <v>22</v>
      </c>
      <c r="D139" s="43">
        <v>177</v>
      </c>
      <c r="E139" s="43">
        <v>190</v>
      </c>
    </row>
    <row r="140" spans="1:7" x14ac:dyDescent="0.25">
      <c r="A140" s="41" t="s">
        <v>42</v>
      </c>
      <c r="B140" s="42">
        <f t="shared" si="17"/>
        <v>411</v>
      </c>
      <c r="C140" s="45">
        <v>19</v>
      </c>
      <c r="D140" s="45">
        <v>165</v>
      </c>
      <c r="E140" s="45">
        <v>227</v>
      </c>
    </row>
    <row r="141" spans="1:7" x14ac:dyDescent="0.25">
      <c r="A141" s="41" t="s">
        <v>43</v>
      </c>
      <c r="B141" s="42">
        <f t="shared" si="17"/>
        <v>398</v>
      </c>
      <c r="C141" s="45">
        <v>21</v>
      </c>
      <c r="D141" s="45">
        <v>177</v>
      </c>
      <c r="E141" s="45">
        <v>200</v>
      </c>
    </row>
    <row r="142" spans="1:7" x14ac:dyDescent="0.25">
      <c r="A142" s="41" t="s">
        <v>44</v>
      </c>
      <c r="B142" s="42">
        <f t="shared" si="17"/>
        <v>347</v>
      </c>
      <c r="C142" s="45">
        <v>11</v>
      </c>
      <c r="D142" s="45">
        <v>145</v>
      </c>
      <c r="E142" s="45">
        <v>191</v>
      </c>
    </row>
    <row r="143" spans="1:7" x14ac:dyDescent="0.25">
      <c r="A143" s="41" t="s">
        <v>45</v>
      </c>
      <c r="B143" s="42">
        <f t="shared" si="17"/>
        <v>327</v>
      </c>
      <c r="C143" s="45">
        <v>17</v>
      </c>
      <c r="D143" s="45">
        <v>143</v>
      </c>
      <c r="E143" s="45">
        <v>167</v>
      </c>
    </row>
    <row r="144" spans="1:7" x14ac:dyDescent="0.25">
      <c r="A144" s="44" t="s">
        <v>46</v>
      </c>
      <c r="B144" s="42">
        <f t="shared" si="17"/>
        <v>1766</v>
      </c>
      <c r="C144" s="45">
        <f>11+13+15+12+16</f>
        <v>67</v>
      </c>
      <c r="D144" s="45">
        <f>145+172+170+142+153</f>
        <v>782</v>
      </c>
      <c r="E144" s="45">
        <v>917</v>
      </c>
      <c r="G144" s="69">
        <f>SUM(B139:B144)</f>
        <v>3638</v>
      </c>
    </row>
    <row r="145" spans="1:7" ht="13.8" thickBot="1" x14ac:dyDescent="0.3">
      <c r="A145" s="47"/>
      <c r="B145" s="30"/>
      <c r="C145" s="40"/>
      <c r="D145" s="40"/>
      <c r="E145" s="40"/>
    </row>
    <row r="146" spans="1:7" ht="13.8" thickBot="1" x14ac:dyDescent="0.3">
      <c r="A146" s="37" t="s">
        <v>47</v>
      </c>
      <c r="B146" s="38">
        <f>+C146+D146+E146</f>
        <v>20126</v>
      </c>
      <c r="C146" s="39">
        <f>SUM(C147:C159)</f>
        <v>617</v>
      </c>
      <c r="D146" s="39">
        <f t="shared" ref="D146:E146" si="18">SUM(D147:D159)</f>
        <v>9359</v>
      </c>
      <c r="E146" s="39">
        <f t="shared" si="18"/>
        <v>10150</v>
      </c>
    </row>
    <row r="147" spans="1:7" x14ac:dyDescent="0.25">
      <c r="A147" s="48" t="s">
        <v>21</v>
      </c>
      <c r="B147" s="42">
        <f>+C147+D147+E147</f>
        <v>2030</v>
      </c>
      <c r="C147" s="43">
        <f>9+9+9+18+9</f>
        <v>54</v>
      </c>
      <c r="D147" s="43">
        <f>174+200+182+201+214</f>
        <v>971</v>
      </c>
      <c r="E147" s="43">
        <v>1005</v>
      </c>
    </row>
    <row r="148" spans="1:7" x14ac:dyDescent="0.25">
      <c r="A148" s="48" t="s">
        <v>48</v>
      </c>
      <c r="B148" s="42">
        <f t="shared" ref="B148:B159" si="19">+C148+D148+E148</f>
        <v>2049</v>
      </c>
      <c r="C148" s="45">
        <f>9+7+19+13+6</f>
        <v>54</v>
      </c>
      <c r="D148" s="45">
        <f>189+222+188+217+209</f>
        <v>1025</v>
      </c>
      <c r="E148" s="45">
        <v>970</v>
      </c>
    </row>
    <row r="149" spans="1:7" x14ac:dyDescent="0.25">
      <c r="A149" s="48" t="s">
        <v>49</v>
      </c>
      <c r="B149" s="42">
        <f t="shared" si="19"/>
        <v>2012</v>
      </c>
      <c r="C149" s="45">
        <f>9+14+12+10+20</f>
        <v>65</v>
      </c>
      <c r="D149" s="45">
        <f>197+208+205+190+160</f>
        <v>960</v>
      </c>
      <c r="E149" s="45">
        <v>987</v>
      </c>
    </row>
    <row r="150" spans="1:7" x14ac:dyDescent="0.25">
      <c r="A150" s="48" t="s">
        <v>50</v>
      </c>
      <c r="B150" s="42">
        <f t="shared" si="19"/>
        <v>1707</v>
      </c>
      <c r="C150" s="45">
        <f>7+17+13+10+15</f>
        <v>62</v>
      </c>
      <c r="D150" s="45">
        <f>167+174+138+172+150</f>
        <v>801</v>
      </c>
      <c r="E150" s="45">
        <v>844</v>
      </c>
    </row>
    <row r="151" spans="1:7" x14ac:dyDescent="0.25">
      <c r="A151" s="48" t="s">
        <v>51</v>
      </c>
      <c r="B151" s="42">
        <f t="shared" si="19"/>
        <v>1517</v>
      </c>
      <c r="C151" s="45">
        <f>11+11+3+6+10</f>
        <v>41</v>
      </c>
      <c r="D151" s="45">
        <f>132+149+136+137+146</f>
        <v>700</v>
      </c>
      <c r="E151" s="45">
        <v>776</v>
      </c>
    </row>
    <row r="152" spans="1:7" x14ac:dyDescent="0.25">
      <c r="A152" s="48" t="s">
        <v>52</v>
      </c>
      <c r="B152" s="42">
        <f t="shared" si="19"/>
        <v>1604</v>
      </c>
      <c r="C152" s="45">
        <f>6+9+7+17+12</f>
        <v>51</v>
      </c>
      <c r="D152" s="45">
        <f>139+135+159+156+164</f>
        <v>753</v>
      </c>
      <c r="E152" s="45">
        <v>800</v>
      </c>
    </row>
    <row r="153" spans="1:7" x14ac:dyDescent="0.25">
      <c r="A153" s="48" t="s">
        <v>53</v>
      </c>
      <c r="B153" s="42">
        <f t="shared" si="19"/>
        <v>1505</v>
      </c>
      <c r="C153" s="45">
        <f>10+11+6+9+5</f>
        <v>41</v>
      </c>
      <c r="D153" s="45">
        <f>134+139+151+142+135</f>
        <v>701</v>
      </c>
      <c r="E153" s="45">
        <v>763</v>
      </c>
    </row>
    <row r="154" spans="1:7" x14ac:dyDescent="0.25">
      <c r="A154" s="48" t="s">
        <v>54</v>
      </c>
      <c r="B154" s="42">
        <f t="shared" si="19"/>
        <v>1694</v>
      </c>
      <c r="C154" s="45">
        <f>13+10+8+16+14</f>
        <v>61</v>
      </c>
      <c r="D154" s="45">
        <f>137+156+166+142+134</f>
        <v>735</v>
      </c>
      <c r="E154" s="45">
        <v>898</v>
      </c>
    </row>
    <row r="155" spans="1:7" x14ac:dyDescent="0.25">
      <c r="A155" s="48" t="s">
        <v>55</v>
      </c>
      <c r="B155" s="42">
        <f t="shared" si="19"/>
        <v>1610</v>
      </c>
      <c r="C155" s="45">
        <f>8+16+8+8+11</f>
        <v>51</v>
      </c>
      <c r="D155" s="45">
        <f>156+149+134+135+126</f>
        <v>700</v>
      </c>
      <c r="E155" s="45">
        <v>859</v>
      </c>
    </row>
    <row r="156" spans="1:7" x14ac:dyDescent="0.25">
      <c r="A156" s="49" t="s">
        <v>56</v>
      </c>
      <c r="B156" s="42">
        <f t="shared" si="19"/>
        <v>1272</v>
      </c>
      <c r="C156" s="45">
        <f>4+10+4+6+10</f>
        <v>34</v>
      </c>
      <c r="D156" s="45">
        <f>125+123+106+93+98</f>
        <v>545</v>
      </c>
      <c r="E156" s="45">
        <v>693</v>
      </c>
    </row>
    <row r="157" spans="1:7" x14ac:dyDescent="0.25">
      <c r="A157" s="48" t="s">
        <v>57</v>
      </c>
      <c r="B157" s="42">
        <f t="shared" si="19"/>
        <v>1096</v>
      </c>
      <c r="C157" s="45">
        <f>11+7+6+7+7</f>
        <v>38</v>
      </c>
      <c r="D157" s="45">
        <f>96+100+110+92+96</f>
        <v>494</v>
      </c>
      <c r="E157" s="45">
        <v>564</v>
      </c>
    </row>
    <row r="158" spans="1:7" x14ac:dyDescent="0.25">
      <c r="A158" s="48" t="s">
        <v>58</v>
      </c>
      <c r="B158" s="42">
        <f t="shared" si="19"/>
        <v>872</v>
      </c>
      <c r="C158" s="45">
        <f>5+7+5+6+2</f>
        <v>25</v>
      </c>
      <c r="D158" s="45">
        <f>122+91+68+89+60</f>
        <v>430</v>
      </c>
      <c r="E158" s="45">
        <v>417</v>
      </c>
    </row>
    <row r="159" spans="1:7" x14ac:dyDescent="0.25">
      <c r="A159" s="48" t="s">
        <v>59</v>
      </c>
      <c r="B159" s="42">
        <f t="shared" si="19"/>
        <v>1158</v>
      </c>
      <c r="C159" s="45">
        <f>6+6+2+6+5+3+1+5+1+1+2+1+1</f>
        <v>40</v>
      </c>
      <c r="D159" s="45">
        <v>544</v>
      </c>
      <c r="E159" s="45">
        <v>574</v>
      </c>
      <c r="G159" s="69">
        <f>SUM(B147:B159)</f>
        <v>20126</v>
      </c>
    </row>
  </sheetData>
  <mergeCells count="5">
    <mergeCell ref="A1:D1"/>
    <mergeCell ref="A3:E3"/>
    <mergeCell ref="C4:E4"/>
    <mergeCell ref="A60:E60"/>
    <mergeCell ref="A121:E121"/>
  </mergeCells>
  <pageMargins left="0.70866141732283472" right="0.70866141732283472" top="0.74803149606299213" bottom="0.74803149606299213" header="0.31496062992125984" footer="0.31496062992125984"/>
  <pageSetup scale="90" fitToWidth="3" fitToHeight="3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7BD2-AD91-4C94-8E8D-6CE243FABB75}">
  <sheetPr>
    <pageSetUpPr fitToPage="1"/>
  </sheetPr>
  <dimension ref="A1:G134"/>
  <sheetViews>
    <sheetView workbookViewId="0">
      <selection sqref="A1:E1"/>
    </sheetView>
  </sheetViews>
  <sheetFormatPr baseColWidth="10" defaultRowHeight="13.2" x14ac:dyDescent="0.25"/>
  <cols>
    <col min="1" max="1" width="26.5546875" customWidth="1"/>
    <col min="2" max="5" width="15.77734375" customWidth="1"/>
    <col min="6" max="6" width="5.21875" customWidth="1"/>
  </cols>
  <sheetData>
    <row r="1" spans="1:7" ht="22.8" customHeight="1" x14ac:dyDescent="0.25">
      <c r="A1" s="79" t="s">
        <v>109</v>
      </c>
      <c r="B1" s="79"/>
      <c r="C1" s="79"/>
      <c r="D1" s="79"/>
      <c r="E1" s="79"/>
    </row>
    <row r="2" spans="1:7" x14ac:dyDescent="0.25">
      <c r="A2" s="30"/>
      <c r="B2" s="31"/>
      <c r="C2" s="31"/>
      <c r="D2" s="31"/>
    </row>
    <row r="3" spans="1:7" ht="18" thickBot="1" x14ac:dyDescent="0.35">
      <c r="A3" s="85" t="s">
        <v>106</v>
      </c>
      <c r="B3" s="86"/>
      <c r="C3" s="86"/>
      <c r="D3" s="86"/>
      <c r="E3" s="86"/>
    </row>
    <row r="4" spans="1:7" ht="13.8" thickBot="1" x14ac:dyDescent="0.3">
      <c r="A4" s="32"/>
      <c r="B4" s="33" t="s">
        <v>23</v>
      </c>
      <c r="C4" s="81" t="s">
        <v>24</v>
      </c>
      <c r="D4" s="87"/>
      <c r="E4" s="82"/>
    </row>
    <row r="5" spans="1:7" ht="13.8" thickBot="1" x14ac:dyDescent="0.3">
      <c r="A5" s="34" t="s">
        <v>25</v>
      </c>
      <c r="B5" s="35" t="s">
        <v>26</v>
      </c>
      <c r="C5" s="36" t="s">
        <v>102</v>
      </c>
      <c r="D5" s="36" t="s">
        <v>4</v>
      </c>
      <c r="E5" s="36" t="s">
        <v>15</v>
      </c>
    </row>
    <row r="6" spans="1:7" ht="16.2" thickBot="1" x14ac:dyDescent="0.35">
      <c r="A6" s="37" t="s">
        <v>27</v>
      </c>
      <c r="B6" s="73">
        <f>+C6+D6+E6</f>
        <v>64373</v>
      </c>
      <c r="C6" s="74">
        <f>+C10+C22+C30</f>
        <v>2396</v>
      </c>
      <c r="D6" s="74">
        <f>+D10+D22+D30</f>
        <v>28598</v>
      </c>
      <c r="E6" s="74">
        <f>+E10+E22+E30</f>
        <v>33379</v>
      </c>
    </row>
    <row r="7" spans="1:7" ht="13.8" thickBot="1" x14ac:dyDescent="0.3">
      <c r="A7" s="41" t="s">
        <v>29</v>
      </c>
      <c r="B7" s="71">
        <f>+C7+D7+E7</f>
        <v>4</v>
      </c>
      <c r="C7" s="43">
        <f>+C54+C99</f>
        <v>0</v>
      </c>
      <c r="D7" s="43">
        <f>+D54+D99</f>
        <v>4</v>
      </c>
      <c r="E7" s="43">
        <f>+E54+E99</f>
        <v>0</v>
      </c>
      <c r="G7" s="69">
        <f>+B6+B7</f>
        <v>64377</v>
      </c>
    </row>
    <row r="8" spans="1:7" ht="18" thickBot="1" x14ac:dyDescent="0.5">
      <c r="A8" s="46"/>
      <c r="B8" s="75">
        <f>+B6+B7</f>
        <v>64377</v>
      </c>
      <c r="C8" s="75">
        <f>+C6+C7</f>
        <v>2396</v>
      </c>
      <c r="D8" s="75">
        <f>+D6+D7</f>
        <v>28602</v>
      </c>
      <c r="E8" s="75">
        <f>+E6+E7</f>
        <v>33379</v>
      </c>
    </row>
    <row r="9" spans="1:7" ht="13.8" thickBot="1" x14ac:dyDescent="0.3">
      <c r="A9" s="30"/>
      <c r="B9" s="30"/>
      <c r="C9" s="40"/>
      <c r="D9" s="40"/>
      <c r="E9" s="40"/>
    </row>
    <row r="10" spans="1:7" ht="13.8" thickBot="1" x14ac:dyDescent="0.3">
      <c r="A10" s="37" t="s">
        <v>28</v>
      </c>
      <c r="B10" s="64">
        <f>+C10+D10+E10</f>
        <v>7318</v>
      </c>
      <c r="C10" s="66">
        <f>SUM(C11:C20)</f>
        <v>345</v>
      </c>
      <c r="D10" s="67">
        <f>SUM(D11:D20)</f>
        <v>3255</v>
      </c>
      <c r="E10" s="68">
        <f>SUM(E11:E20)</f>
        <v>3718</v>
      </c>
    </row>
    <row r="11" spans="1:7" x14ac:dyDescent="0.25">
      <c r="A11" s="44" t="s">
        <v>30</v>
      </c>
      <c r="B11" s="65">
        <f>+C11+D11+E11</f>
        <v>499</v>
      </c>
      <c r="C11" s="43">
        <f t="shared" ref="C11:E20" si="0">+C57+C102</f>
        <v>20</v>
      </c>
      <c r="D11" s="43">
        <f t="shared" si="0"/>
        <v>243</v>
      </c>
      <c r="E11" s="43">
        <f t="shared" si="0"/>
        <v>236</v>
      </c>
    </row>
    <row r="12" spans="1:7" x14ac:dyDescent="0.25">
      <c r="A12" s="41" t="s">
        <v>31</v>
      </c>
      <c r="B12" s="65">
        <f t="shared" ref="B12:B20" si="1">+C12+D12+E12</f>
        <v>653</v>
      </c>
      <c r="C12" s="43">
        <f t="shared" si="0"/>
        <v>30</v>
      </c>
      <c r="D12" s="43">
        <f t="shared" si="0"/>
        <v>313</v>
      </c>
      <c r="E12" s="43">
        <f t="shared" si="0"/>
        <v>310</v>
      </c>
    </row>
    <row r="13" spans="1:7" x14ac:dyDescent="0.25">
      <c r="A13" s="44" t="s">
        <v>32</v>
      </c>
      <c r="B13" s="65">
        <f t="shared" si="1"/>
        <v>742</v>
      </c>
      <c r="C13" s="43">
        <f t="shared" si="0"/>
        <v>41</v>
      </c>
      <c r="D13" s="43">
        <f t="shared" si="0"/>
        <v>346</v>
      </c>
      <c r="E13" s="43">
        <f t="shared" si="0"/>
        <v>355</v>
      </c>
    </row>
    <row r="14" spans="1:7" x14ac:dyDescent="0.25">
      <c r="A14" s="44" t="s">
        <v>33</v>
      </c>
      <c r="B14" s="65">
        <f t="shared" si="1"/>
        <v>748</v>
      </c>
      <c r="C14" s="43">
        <f t="shared" si="0"/>
        <v>46</v>
      </c>
      <c r="D14" s="43">
        <f t="shared" si="0"/>
        <v>318</v>
      </c>
      <c r="E14" s="43">
        <f t="shared" si="0"/>
        <v>384</v>
      </c>
    </row>
    <row r="15" spans="1:7" x14ac:dyDescent="0.25">
      <c r="A15" s="44" t="s">
        <v>34</v>
      </c>
      <c r="B15" s="65">
        <f t="shared" si="1"/>
        <v>720</v>
      </c>
      <c r="C15" s="43">
        <f t="shared" si="0"/>
        <v>34</v>
      </c>
      <c r="D15" s="43">
        <f t="shared" si="0"/>
        <v>326</v>
      </c>
      <c r="E15" s="43">
        <f t="shared" si="0"/>
        <v>360</v>
      </c>
    </row>
    <row r="16" spans="1:7" x14ac:dyDescent="0.25">
      <c r="A16" s="44" t="s">
        <v>35</v>
      </c>
      <c r="B16" s="65">
        <f t="shared" si="1"/>
        <v>745</v>
      </c>
      <c r="C16" s="43">
        <f t="shared" si="0"/>
        <v>33</v>
      </c>
      <c r="D16" s="43">
        <f t="shared" si="0"/>
        <v>317</v>
      </c>
      <c r="E16" s="43">
        <f t="shared" si="0"/>
        <v>395</v>
      </c>
    </row>
    <row r="17" spans="1:7" x14ac:dyDescent="0.25">
      <c r="A17" s="44" t="s">
        <v>36</v>
      </c>
      <c r="B17" s="65">
        <f t="shared" si="1"/>
        <v>816</v>
      </c>
      <c r="C17" s="43">
        <f t="shared" si="0"/>
        <v>39</v>
      </c>
      <c r="D17" s="43">
        <f t="shared" si="0"/>
        <v>356</v>
      </c>
      <c r="E17" s="43">
        <f t="shared" si="0"/>
        <v>421</v>
      </c>
    </row>
    <row r="18" spans="1:7" x14ac:dyDescent="0.25">
      <c r="A18" s="44" t="s">
        <v>37</v>
      </c>
      <c r="B18" s="65">
        <f t="shared" si="1"/>
        <v>853</v>
      </c>
      <c r="C18" s="43">
        <f t="shared" si="0"/>
        <v>34</v>
      </c>
      <c r="D18" s="43">
        <f t="shared" si="0"/>
        <v>356</v>
      </c>
      <c r="E18" s="43">
        <f t="shared" si="0"/>
        <v>463</v>
      </c>
    </row>
    <row r="19" spans="1:7" x14ac:dyDescent="0.25">
      <c r="A19" s="44" t="s">
        <v>38</v>
      </c>
      <c r="B19" s="65">
        <f t="shared" si="1"/>
        <v>784</v>
      </c>
      <c r="C19" s="43">
        <f t="shared" si="0"/>
        <v>38</v>
      </c>
      <c r="D19" s="43">
        <f t="shared" si="0"/>
        <v>372</v>
      </c>
      <c r="E19" s="43">
        <f t="shared" si="0"/>
        <v>374</v>
      </c>
    </row>
    <row r="20" spans="1:7" x14ac:dyDescent="0.25">
      <c r="A20" s="44" t="s">
        <v>39</v>
      </c>
      <c r="B20" s="65">
        <f t="shared" si="1"/>
        <v>758</v>
      </c>
      <c r="C20" s="43">
        <f t="shared" si="0"/>
        <v>30</v>
      </c>
      <c r="D20" s="43">
        <f t="shared" si="0"/>
        <v>308</v>
      </c>
      <c r="E20" s="43">
        <f t="shared" si="0"/>
        <v>420</v>
      </c>
      <c r="G20" s="69">
        <f>SUM(B11:B20)</f>
        <v>7318</v>
      </c>
    </row>
    <row r="21" spans="1:7" ht="13.8" thickBot="1" x14ac:dyDescent="0.3">
      <c r="A21" s="46"/>
      <c r="B21" s="30"/>
      <c r="C21" s="40"/>
      <c r="D21" s="40"/>
      <c r="E21" s="40"/>
    </row>
    <row r="22" spans="1:7" ht="13.8" thickBot="1" x14ac:dyDescent="0.3">
      <c r="A22" s="37" t="s">
        <v>40</v>
      </c>
      <c r="B22" s="38">
        <f>+C22+D22+E22</f>
        <v>7502</v>
      </c>
      <c r="C22" s="39">
        <f>SUM(C23:C28)</f>
        <v>308</v>
      </c>
      <c r="D22" s="39">
        <f>SUM(D23:D28)</f>
        <v>3257</v>
      </c>
      <c r="E22" s="39">
        <f>SUM(E23:E28)</f>
        <v>3937</v>
      </c>
    </row>
    <row r="23" spans="1:7" x14ac:dyDescent="0.25">
      <c r="A23" s="41" t="s">
        <v>41</v>
      </c>
      <c r="B23" s="42">
        <f>+C23+D23+E23</f>
        <v>756</v>
      </c>
      <c r="C23" s="43">
        <f t="shared" ref="C23:E28" si="2">+C69+C114</f>
        <v>37</v>
      </c>
      <c r="D23" s="43">
        <f t="shared" si="2"/>
        <v>323</v>
      </c>
      <c r="E23" s="43">
        <f t="shared" si="2"/>
        <v>396</v>
      </c>
    </row>
    <row r="24" spans="1:7" x14ac:dyDescent="0.25">
      <c r="A24" s="41" t="s">
        <v>42</v>
      </c>
      <c r="B24" s="42">
        <f t="shared" ref="B24:B28" si="3">+C24+D24+E24</f>
        <v>788</v>
      </c>
      <c r="C24" s="43">
        <f t="shared" si="2"/>
        <v>43</v>
      </c>
      <c r="D24" s="43">
        <f t="shared" si="2"/>
        <v>353</v>
      </c>
      <c r="E24" s="43">
        <f t="shared" si="2"/>
        <v>392</v>
      </c>
    </row>
    <row r="25" spans="1:7" x14ac:dyDescent="0.25">
      <c r="A25" s="41" t="s">
        <v>43</v>
      </c>
      <c r="B25" s="42">
        <f t="shared" si="3"/>
        <v>823</v>
      </c>
      <c r="C25" s="43">
        <f t="shared" si="2"/>
        <v>36</v>
      </c>
      <c r="D25" s="43">
        <f t="shared" si="2"/>
        <v>350</v>
      </c>
      <c r="E25" s="43">
        <f t="shared" si="2"/>
        <v>437</v>
      </c>
    </row>
    <row r="26" spans="1:7" x14ac:dyDescent="0.25">
      <c r="A26" s="41" t="s">
        <v>44</v>
      </c>
      <c r="B26" s="42">
        <f t="shared" si="3"/>
        <v>760</v>
      </c>
      <c r="C26" s="43">
        <f t="shared" si="2"/>
        <v>29</v>
      </c>
      <c r="D26" s="43">
        <f t="shared" si="2"/>
        <v>331</v>
      </c>
      <c r="E26" s="43">
        <f t="shared" si="2"/>
        <v>400</v>
      </c>
    </row>
    <row r="27" spans="1:7" x14ac:dyDescent="0.25">
      <c r="A27" s="41" t="s">
        <v>45</v>
      </c>
      <c r="B27" s="42">
        <f t="shared" si="3"/>
        <v>753</v>
      </c>
      <c r="C27" s="43">
        <f t="shared" si="2"/>
        <v>30</v>
      </c>
      <c r="D27" s="43">
        <f t="shared" si="2"/>
        <v>329</v>
      </c>
      <c r="E27" s="43">
        <f t="shared" si="2"/>
        <v>394</v>
      </c>
    </row>
    <row r="28" spans="1:7" x14ac:dyDescent="0.25">
      <c r="A28" s="44" t="s">
        <v>46</v>
      </c>
      <c r="B28" s="42">
        <f t="shared" si="3"/>
        <v>3622</v>
      </c>
      <c r="C28" s="43">
        <f t="shared" si="2"/>
        <v>133</v>
      </c>
      <c r="D28" s="43">
        <f t="shared" si="2"/>
        <v>1571</v>
      </c>
      <c r="E28" s="43">
        <f t="shared" si="2"/>
        <v>1918</v>
      </c>
      <c r="G28" s="69">
        <f>SUM(B23:B28)</f>
        <v>7502</v>
      </c>
    </row>
    <row r="29" spans="1:7" ht="13.8" thickBot="1" x14ac:dyDescent="0.3">
      <c r="A29" s="47"/>
      <c r="B29" s="30"/>
      <c r="C29" s="40"/>
      <c r="D29" s="40"/>
      <c r="E29" s="40"/>
    </row>
    <row r="30" spans="1:7" ht="13.8" thickBot="1" x14ac:dyDescent="0.3">
      <c r="A30" s="37" t="s">
        <v>47</v>
      </c>
      <c r="B30" s="38">
        <f>+C30+D30+E30</f>
        <v>49553</v>
      </c>
      <c r="C30" s="39">
        <f>SUM(C31:C43)</f>
        <v>1743</v>
      </c>
      <c r="D30" s="39">
        <f>SUM(D31:D43)</f>
        <v>22086</v>
      </c>
      <c r="E30" s="39">
        <f>SUM(E31:E43)</f>
        <v>25724</v>
      </c>
    </row>
    <row r="31" spans="1:7" x14ac:dyDescent="0.25">
      <c r="A31" s="48" t="s">
        <v>21</v>
      </c>
      <c r="B31" s="42">
        <f>+C31+D31+E31</f>
        <v>4330</v>
      </c>
      <c r="C31" s="43">
        <f t="shared" ref="C31:E43" si="4">+C77+C122</f>
        <v>152</v>
      </c>
      <c r="D31" s="43">
        <f t="shared" si="4"/>
        <v>1981</v>
      </c>
      <c r="E31" s="43">
        <f t="shared" si="4"/>
        <v>2197</v>
      </c>
    </row>
    <row r="32" spans="1:7" x14ac:dyDescent="0.25">
      <c r="A32" s="48" t="s">
        <v>48</v>
      </c>
      <c r="B32" s="42">
        <f t="shared" ref="B32:B43" si="5">+C32+D32+E32</f>
        <v>4979</v>
      </c>
      <c r="C32" s="43">
        <f t="shared" si="4"/>
        <v>181</v>
      </c>
      <c r="D32" s="43">
        <f t="shared" si="4"/>
        <v>2324</v>
      </c>
      <c r="E32" s="43">
        <f t="shared" si="4"/>
        <v>2474</v>
      </c>
    </row>
    <row r="33" spans="1:7" x14ac:dyDescent="0.25">
      <c r="A33" s="48" t="s">
        <v>49</v>
      </c>
      <c r="B33" s="42">
        <f t="shared" si="5"/>
        <v>5202</v>
      </c>
      <c r="C33" s="43">
        <f t="shared" si="4"/>
        <v>193</v>
      </c>
      <c r="D33" s="43">
        <f t="shared" si="4"/>
        <v>2430</v>
      </c>
      <c r="E33" s="43">
        <f t="shared" si="4"/>
        <v>2579</v>
      </c>
    </row>
    <row r="34" spans="1:7" x14ac:dyDescent="0.25">
      <c r="A34" s="48" t="s">
        <v>50</v>
      </c>
      <c r="B34" s="42">
        <f t="shared" si="5"/>
        <v>4350</v>
      </c>
      <c r="C34" s="43">
        <f t="shared" si="4"/>
        <v>182</v>
      </c>
      <c r="D34" s="43">
        <f t="shared" si="4"/>
        <v>1934</v>
      </c>
      <c r="E34" s="43">
        <f t="shared" si="4"/>
        <v>2234</v>
      </c>
    </row>
    <row r="35" spans="1:7" x14ac:dyDescent="0.25">
      <c r="A35" s="48" t="s">
        <v>51</v>
      </c>
      <c r="B35" s="42">
        <f t="shared" si="5"/>
        <v>3795</v>
      </c>
      <c r="C35" s="43">
        <f t="shared" si="4"/>
        <v>124</v>
      </c>
      <c r="D35" s="43">
        <f t="shared" si="4"/>
        <v>1712</v>
      </c>
      <c r="E35" s="43">
        <f t="shared" si="4"/>
        <v>1959</v>
      </c>
    </row>
    <row r="36" spans="1:7" x14ac:dyDescent="0.25">
      <c r="A36" s="48" t="s">
        <v>52</v>
      </c>
      <c r="B36" s="42">
        <f t="shared" si="5"/>
        <v>3748</v>
      </c>
      <c r="C36" s="43">
        <f t="shared" si="4"/>
        <v>120</v>
      </c>
      <c r="D36" s="43">
        <f t="shared" si="4"/>
        <v>1671</v>
      </c>
      <c r="E36" s="43">
        <f t="shared" si="4"/>
        <v>1957</v>
      </c>
    </row>
    <row r="37" spans="1:7" x14ac:dyDescent="0.25">
      <c r="A37" s="48" t="s">
        <v>53</v>
      </c>
      <c r="B37" s="42">
        <f t="shared" si="5"/>
        <v>3759</v>
      </c>
      <c r="C37" s="43">
        <f t="shared" si="4"/>
        <v>132</v>
      </c>
      <c r="D37" s="43">
        <f t="shared" si="4"/>
        <v>1726</v>
      </c>
      <c r="E37" s="43">
        <f t="shared" si="4"/>
        <v>1901</v>
      </c>
    </row>
    <row r="38" spans="1:7" x14ac:dyDescent="0.25">
      <c r="A38" s="48" t="s">
        <v>54</v>
      </c>
      <c r="B38" s="42">
        <f t="shared" si="5"/>
        <v>3871</v>
      </c>
      <c r="C38" s="43">
        <f t="shared" si="4"/>
        <v>138</v>
      </c>
      <c r="D38" s="43">
        <f t="shared" si="4"/>
        <v>1675</v>
      </c>
      <c r="E38" s="43">
        <f t="shared" si="4"/>
        <v>2058</v>
      </c>
    </row>
    <row r="39" spans="1:7" x14ac:dyDescent="0.25">
      <c r="A39" s="48" t="s">
        <v>55</v>
      </c>
      <c r="B39" s="42">
        <f t="shared" si="5"/>
        <v>3856</v>
      </c>
      <c r="C39" s="43">
        <f t="shared" si="4"/>
        <v>135</v>
      </c>
      <c r="D39" s="43">
        <f t="shared" si="4"/>
        <v>1615</v>
      </c>
      <c r="E39" s="43">
        <f t="shared" si="4"/>
        <v>2106</v>
      </c>
    </row>
    <row r="40" spans="1:7" x14ac:dyDescent="0.25">
      <c r="A40" s="49" t="s">
        <v>56</v>
      </c>
      <c r="B40" s="42">
        <f t="shared" si="5"/>
        <v>3186</v>
      </c>
      <c r="C40" s="43">
        <f t="shared" si="4"/>
        <v>95</v>
      </c>
      <c r="D40" s="43">
        <f t="shared" si="4"/>
        <v>1359</v>
      </c>
      <c r="E40" s="43">
        <f t="shared" si="4"/>
        <v>1732</v>
      </c>
    </row>
    <row r="41" spans="1:7" x14ac:dyDescent="0.25">
      <c r="A41" s="48" t="s">
        <v>57</v>
      </c>
      <c r="B41" s="42">
        <f t="shared" si="5"/>
        <v>2736</v>
      </c>
      <c r="C41" s="43">
        <f t="shared" si="4"/>
        <v>107</v>
      </c>
      <c r="D41" s="43">
        <f t="shared" si="4"/>
        <v>1170</v>
      </c>
      <c r="E41" s="43">
        <f t="shared" si="4"/>
        <v>1459</v>
      </c>
    </row>
    <row r="42" spans="1:7" x14ac:dyDescent="0.25">
      <c r="A42" s="48" t="s">
        <v>58</v>
      </c>
      <c r="B42" s="42">
        <f t="shared" si="5"/>
        <v>2221</v>
      </c>
      <c r="C42" s="43">
        <f t="shared" si="4"/>
        <v>79</v>
      </c>
      <c r="D42" s="43">
        <f t="shared" si="4"/>
        <v>1004</v>
      </c>
      <c r="E42" s="43">
        <f t="shared" si="4"/>
        <v>1138</v>
      </c>
    </row>
    <row r="43" spans="1:7" x14ac:dyDescent="0.25">
      <c r="A43" s="48" t="s">
        <v>59</v>
      </c>
      <c r="B43" s="42">
        <f t="shared" si="5"/>
        <v>3520</v>
      </c>
      <c r="C43" s="43">
        <f t="shared" si="4"/>
        <v>105</v>
      </c>
      <c r="D43" s="43">
        <f t="shared" si="4"/>
        <v>1485</v>
      </c>
      <c r="E43" s="43">
        <f t="shared" si="4"/>
        <v>1930</v>
      </c>
      <c r="G43" s="69">
        <f>SUM(B31:B43)</f>
        <v>49553</v>
      </c>
    </row>
    <row r="44" spans="1:7" x14ac:dyDescent="0.25">
      <c r="A44" s="50"/>
      <c r="B44" s="51"/>
      <c r="C44" s="51"/>
      <c r="D44" s="51"/>
      <c r="E44" s="51"/>
    </row>
    <row r="45" spans="1:7" x14ac:dyDescent="0.25">
      <c r="A45" s="30"/>
      <c r="B45" s="30"/>
      <c r="C45" s="40"/>
      <c r="D45" s="40"/>
      <c r="E45" s="40"/>
    </row>
    <row r="46" spans="1:7" x14ac:dyDescent="0.25">
      <c r="A46" s="57"/>
      <c r="B46" s="57"/>
      <c r="C46" s="58"/>
      <c r="D46" s="58"/>
      <c r="E46" s="58"/>
    </row>
    <row r="47" spans="1:7" x14ac:dyDescent="0.25">
      <c r="A47" s="57"/>
      <c r="B47" s="57"/>
      <c r="C47" s="58"/>
      <c r="D47" s="58"/>
      <c r="E47" s="58"/>
    </row>
    <row r="48" spans="1:7" x14ac:dyDescent="0.25">
      <c r="A48" s="30"/>
      <c r="B48" s="30"/>
      <c r="C48" s="40"/>
      <c r="D48" s="40"/>
      <c r="E48" s="40"/>
    </row>
    <row r="49" spans="1:7" x14ac:dyDescent="0.25">
      <c r="A49" s="30"/>
      <c r="B49" s="30"/>
      <c r="C49" s="40"/>
      <c r="D49" s="40"/>
      <c r="E49" s="40"/>
    </row>
    <row r="50" spans="1:7" x14ac:dyDescent="0.25">
      <c r="A50" s="30"/>
      <c r="B50" s="30"/>
      <c r="C50" s="40"/>
      <c r="D50" s="40"/>
      <c r="E50" s="40"/>
    </row>
    <row r="51" spans="1:7" ht="17.399999999999999" x14ac:dyDescent="0.3">
      <c r="A51" s="83" t="s">
        <v>108</v>
      </c>
      <c r="B51" s="84"/>
      <c r="C51" s="84"/>
      <c r="D51" s="84"/>
      <c r="E51" s="84"/>
    </row>
    <row r="52" spans="1:7" ht="13.8" thickBot="1" x14ac:dyDescent="0.3">
      <c r="A52" s="52"/>
      <c r="B52" s="30"/>
      <c r="C52" s="40"/>
      <c r="D52" s="40"/>
      <c r="E52" s="40"/>
    </row>
    <row r="53" spans="1:7" ht="13.8" thickBot="1" x14ac:dyDescent="0.3">
      <c r="A53" s="37" t="s">
        <v>61</v>
      </c>
      <c r="B53" s="38">
        <f>+C53+D53+E53</f>
        <v>36046</v>
      </c>
      <c r="C53" s="39">
        <f>+C56+C68+C76+C54</f>
        <v>1324</v>
      </c>
      <c r="D53" s="39">
        <f>+D56+D68+D76+D54</f>
        <v>15714</v>
      </c>
      <c r="E53" s="39">
        <f>+E56+E68+E76</f>
        <v>19008</v>
      </c>
    </row>
    <row r="54" spans="1:7" x14ac:dyDescent="0.25">
      <c r="A54" s="44" t="s">
        <v>62</v>
      </c>
      <c r="B54" s="42">
        <f>+C54+D54+E54</f>
        <v>1</v>
      </c>
      <c r="C54" s="43">
        <v>0</v>
      </c>
      <c r="D54" s="43">
        <v>1</v>
      </c>
      <c r="E54" s="43">
        <v>0</v>
      </c>
      <c r="G54" s="69">
        <f>+B53+B54</f>
        <v>36047</v>
      </c>
    </row>
    <row r="55" spans="1:7" ht="13.8" thickBot="1" x14ac:dyDescent="0.3">
      <c r="A55" s="30"/>
      <c r="B55" s="30"/>
      <c r="C55" s="40"/>
      <c r="D55" s="40"/>
      <c r="E55" s="40"/>
    </row>
    <row r="56" spans="1:7" ht="13.8" thickBot="1" x14ac:dyDescent="0.3">
      <c r="A56" s="37" t="s">
        <v>28</v>
      </c>
      <c r="B56" s="38">
        <f>+C56+D56+E56</f>
        <v>3546</v>
      </c>
      <c r="C56" s="39">
        <f>SUM(C57:C66)</f>
        <v>174</v>
      </c>
      <c r="D56" s="39">
        <f>SUM(D57:D66)</f>
        <v>1593</v>
      </c>
      <c r="E56" s="39">
        <f>SUM(E57:E66)</f>
        <v>1779</v>
      </c>
    </row>
    <row r="57" spans="1:7" x14ac:dyDescent="0.25">
      <c r="A57" s="44" t="s">
        <v>30</v>
      </c>
      <c r="B57" s="42">
        <f>+C57+D57+E57</f>
        <v>227</v>
      </c>
      <c r="C57" s="45">
        <v>11</v>
      </c>
      <c r="D57" s="45">
        <v>111</v>
      </c>
      <c r="E57" s="45">
        <v>105</v>
      </c>
    </row>
    <row r="58" spans="1:7" x14ac:dyDescent="0.25">
      <c r="A58" s="41" t="s">
        <v>31</v>
      </c>
      <c r="B58" s="42">
        <f t="shared" ref="B58:B66" si="6">+C58+D58+E58</f>
        <v>326</v>
      </c>
      <c r="C58" s="45">
        <v>19</v>
      </c>
      <c r="D58" s="45">
        <v>153</v>
      </c>
      <c r="E58" s="45">
        <v>154</v>
      </c>
    </row>
    <row r="59" spans="1:7" x14ac:dyDescent="0.25">
      <c r="A59" s="44" t="s">
        <v>32</v>
      </c>
      <c r="B59" s="42">
        <f t="shared" si="6"/>
        <v>335</v>
      </c>
      <c r="C59" s="45">
        <v>18</v>
      </c>
      <c r="D59" s="45">
        <v>147</v>
      </c>
      <c r="E59" s="45">
        <v>170</v>
      </c>
    </row>
    <row r="60" spans="1:7" x14ac:dyDescent="0.25">
      <c r="A60" s="44" t="s">
        <v>33</v>
      </c>
      <c r="B60" s="42">
        <f t="shared" si="6"/>
        <v>363</v>
      </c>
      <c r="C60" s="45">
        <v>20</v>
      </c>
      <c r="D60" s="45">
        <v>152</v>
      </c>
      <c r="E60" s="45">
        <v>191</v>
      </c>
    </row>
    <row r="61" spans="1:7" x14ac:dyDescent="0.25">
      <c r="A61" s="44" t="s">
        <v>34</v>
      </c>
      <c r="B61" s="42">
        <f t="shared" si="6"/>
        <v>356</v>
      </c>
      <c r="C61" s="45">
        <v>17</v>
      </c>
      <c r="D61" s="45">
        <v>177</v>
      </c>
      <c r="E61" s="45">
        <v>162</v>
      </c>
    </row>
    <row r="62" spans="1:7" x14ac:dyDescent="0.25">
      <c r="A62" s="44" t="s">
        <v>35</v>
      </c>
      <c r="B62" s="42">
        <f t="shared" si="6"/>
        <v>334</v>
      </c>
      <c r="C62" s="45">
        <v>15</v>
      </c>
      <c r="D62" s="45">
        <v>131</v>
      </c>
      <c r="E62" s="45">
        <v>188</v>
      </c>
    </row>
    <row r="63" spans="1:7" x14ac:dyDescent="0.25">
      <c r="A63" s="44" t="s">
        <v>36</v>
      </c>
      <c r="B63" s="42">
        <f t="shared" si="6"/>
        <v>392</v>
      </c>
      <c r="C63" s="45">
        <v>15</v>
      </c>
      <c r="D63" s="45">
        <v>182</v>
      </c>
      <c r="E63" s="45">
        <v>195</v>
      </c>
    </row>
    <row r="64" spans="1:7" x14ac:dyDescent="0.25">
      <c r="A64" s="44" t="s">
        <v>37</v>
      </c>
      <c r="B64" s="42">
        <f t="shared" si="6"/>
        <v>445</v>
      </c>
      <c r="C64" s="45">
        <v>18</v>
      </c>
      <c r="D64" s="45">
        <v>198</v>
      </c>
      <c r="E64" s="45">
        <v>229</v>
      </c>
    </row>
    <row r="65" spans="1:7" x14ac:dyDescent="0.25">
      <c r="A65" s="44" t="s">
        <v>38</v>
      </c>
      <c r="B65" s="42">
        <f t="shared" si="6"/>
        <v>395</v>
      </c>
      <c r="C65" s="45">
        <v>22</v>
      </c>
      <c r="D65" s="45">
        <v>188</v>
      </c>
      <c r="E65" s="45">
        <v>185</v>
      </c>
    </row>
    <row r="66" spans="1:7" x14ac:dyDescent="0.25">
      <c r="A66" s="44" t="s">
        <v>39</v>
      </c>
      <c r="B66" s="42">
        <f t="shared" si="6"/>
        <v>373</v>
      </c>
      <c r="C66" s="45">
        <v>19</v>
      </c>
      <c r="D66" s="45">
        <v>154</v>
      </c>
      <c r="E66" s="45">
        <v>200</v>
      </c>
      <c r="G66" s="69">
        <f>SUM(B57:B66)</f>
        <v>3546</v>
      </c>
    </row>
    <row r="67" spans="1:7" ht="13.8" thickBot="1" x14ac:dyDescent="0.3">
      <c r="A67" s="46"/>
      <c r="B67" s="30"/>
      <c r="C67" s="40"/>
      <c r="D67" s="40"/>
      <c r="E67" s="40"/>
    </row>
    <row r="68" spans="1:7" ht="13.8" thickBot="1" x14ac:dyDescent="0.3">
      <c r="A68" s="37" t="s">
        <v>40</v>
      </c>
      <c r="B68" s="38">
        <f>+C68+D68+E68</f>
        <v>3752</v>
      </c>
      <c r="C68" s="39">
        <f>SUM(C69:C74)</f>
        <v>140</v>
      </c>
      <c r="D68" s="39">
        <f>SUM(D69:D74)</f>
        <v>1579</v>
      </c>
      <c r="E68" s="39">
        <f>SUM(E69:E74)</f>
        <v>2033</v>
      </c>
    </row>
    <row r="69" spans="1:7" x14ac:dyDescent="0.25">
      <c r="A69" s="41" t="s">
        <v>41</v>
      </c>
      <c r="B69" s="42">
        <f>+C69+D69+E69</f>
        <v>389</v>
      </c>
      <c r="C69" s="43">
        <v>17</v>
      </c>
      <c r="D69" s="43">
        <v>148</v>
      </c>
      <c r="E69" s="43">
        <v>224</v>
      </c>
    </row>
    <row r="70" spans="1:7" x14ac:dyDescent="0.25">
      <c r="A70" s="41" t="s">
        <v>42</v>
      </c>
      <c r="B70" s="42">
        <f t="shared" ref="B70:B74" si="7">+C70+D70+E70</f>
        <v>365</v>
      </c>
      <c r="C70" s="45">
        <v>16</v>
      </c>
      <c r="D70" s="45">
        <v>167</v>
      </c>
      <c r="E70" s="45">
        <v>182</v>
      </c>
    </row>
    <row r="71" spans="1:7" x14ac:dyDescent="0.25">
      <c r="A71" s="41" t="s">
        <v>43</v>
      </c>
      <c r="B71" s="42">
        <f t="shared" si="7"/>
        <v>405</v>
      </c>
      <c r="C71" s="45">
        <v>14</v>
      </c>
      <c r="D71" s="45">
        <v>178</v>
      </c>
      <c r="E71" s="45">
        <v>213</v>
      </c>
    </row>
    <row r="72" spans="1:7" x14ac:dyDescent="0.25">
      <c r="A72" s="41" t="s">
        <v>44</v>
      </c>
      <c r="B72" s="42">
        <f t="shared" si="7"/>
        <v>374</v>
      </c>
      <c r="C72" s="45">
        <v>10</v>
      </c>
      <c r="D72" s="45">
        <v>160</v>
      </c>
      <c r="E72" s="45">
        <v>204</v>
      </c>
    </row>
    <row r="73" spans="1:7" x14ac:dyDescent="0.25">
      <c r="A73" s="41" t="s">
        <v>45</v>
      </c>
      <c r="B73" s="42">
        <f t="shared" si="7"/>
        <v>382</v>
      </c>
      <c r="C73" s="45">
        <v>16</v>
      </c>
      <c r="D73" s="45">
        <v>168</v>
      </c>
      <c r="E73" s="45">
        <v>198</v>
      </c>
    </row>
    <row r="74" spans="1:7" x14ac:dyDescent="0.25">
      <c r="A74" s="44" t="s">
        <v>46</v>
      </c>
      <c r="B74" s="42">
        <f t="shared" si="7"/>
        <v>1837</v>
      </c>
      <c r="C74" s="45">
        <f>12+13+15+14+13</f>
        <v>67</v>
      </c>
      <c r="D74" s="45">
        <f>146+145+142+180+145</f>
        <v>758</v>
      </c>
      <c r="E74" s="45">
        <f>215+191+205+194+207</f>
        <v>1012</v>
      </c>
      <c r="G74" s="69">
        <f>SUM(B69:B74)</f>
        <v>3752</v>
      </c>
    </row>
    <row r="75" spans="1:7" ht="13.8" thickBot="1" x14ac:dyDescent="0.3">
      <c r="A75" s="47"/>
      <c r="B75" s="30"/>
      <c r="C75" s="40"/>
      <c r="D75" s="40"/>
      <c r="E75" s="40"/>
    </row>
    <row r="76" spans="1:7" ht="13.8" thickBot="1" x14ac:dyDescent="0.3">
      <c r="A76" s="37" t="s">
        <v>47</v>
      </c>
      <c r="B76" s="38">
        <f>+C76+D76+E76</f>
        <v>28747</v>
      </c>
      <c r="C76" s="39">
        <f>SUM(C77:C89)</f>
        <v>1010</v>
      </c>
      <c r="D76" s="39">
        <f>SUM(D77:D89)</f>
        <v>12541</v>
      </c>
      <c r="E76" s="39">
        <f>SUM(E77:E89)</f>
        <v>15196</v>
      </c>
    </row>
    <row r="77" spans="1:7" x14ac:dyDescent="0.25">
      <c r="A77" s="48" t="s">
        <v>21</v>
      </c>
      <c r="B77" s="42">
        <f>+C77+D77+E77</f>
        <v>2328</v>
      </c>
      <c r="C77" s="43">
        <f>15+18+20+18+17</f>
        <v>88</v>
      </c>
      <c r="D77" s="43">
        <f>180+197+190+264+228</f>
        <v>1059</v>
      </c>
      <c r="E77" s="43">
        <f>212+240+240+229+260</f>
        <v>1181</v>
      </c>
    </row>
    <row r="78" spans="1:7" x14ac:dyDescent="0.25">
      <c r="A78" s="48" t="s">
        <v>48</v>
      </c>
      <c r="B78" s="42">
        <f t="shared" ref="B78:B89" si="8">+C78+D78+E78</f>
        <v>2822</v>
      </c>
      <c r="C78" s="45">
        <f>18+21+22+27+19</f>
        <v>107</v>
      </c>
      <c r="D78" s="45">
        <f>264+244+238+255+255</f>
        <v>1256</v>
      </c>
      <c r="E78" s="45">
        <f>264+289+327+279+300</f>
        <v>1459</v>
      </c>
    </row>
    <row r="79" spans="1:7" x14ac:dyDescent="0.25">
      <c r="A79" s="48" t="s">
        <v>49</v>
      </c>
      <c r="B79" s="42">
        <f t="shared" si="8"/>
        <v>3012</v>
      </c>
      <c r="C79" s="45">
        <f>25+26+30+30+23</f>
        <v>134</v>
      </c>
      <c r="D79" s="45">
        <f>290+293+283+264+250</f>
        <v>1380</v>
      </c>
      <c r="E79" s="45">
        <f>300+298+311+315+274</f>
        <v>1498</v>
      </c>
    </row>
    <row r="80" spans="1:7" x14ac:dyDescent="0.25">
      <c r="A80" s="48" t="s">
        <v>50</v>
      </c>
      <c r="B80" s="42">
        <f t="shared" si="8"/>
        <v>2518</v>
      </c>
      <c r="C80" s="45">
        <f>30+18+18+16+22</f>
        <v>104</v>
      </c>
      <c r="D80" s="45">
        <f>244+204+215+200+222</f>
        <v>1085</v>
      </c>
      <c r="E80" s="45">
        <f>272+248+289+251+269</f>
        <v>1329</v>
      </c>
    </row>
    <row r="81" spans="1:7" x14ac:dyDescent="0.25">
      <c r="A81" s="48" t="s">
        <v>51</v>
      </c>
      <c r="B81" s="42">
        <f t="shared" si="8"/>
        <v>2200</v>
      </c>
      <c r="C81" s="45">
        <f>24+12+15+10+11</f>
        <v>72</v>
      </c>
      <c r="D81" s="45">
        <f>232+224+179+165+184</f>
        <v>984</v>
      </c>
      <c r="E81" s="45">
        <f>264+227+231+210+212</f>
        <v>1144</v>
      </c>
    </row>
    <row r="82" spans="1:7" x14ac:dyDescent="0.25">
      <c r="A82" s="48" t="s">
        <v>52</v>
      </c>
      <c r="B82" s="42">
        <f t="shared" si="8"/>
        <v>2125</v>
      </c>
      <c r="C82" s="45">
        <f>13+14+13+13+11</f>
        <v>64</v>
      </c>
      <c r="D82" s="45">
        <f>184+173+186+200+176</f>
        <v>919</v>
      </c>
      <c r="E82" s="45">
        <f>223+219+236+228+236</f>
        <v>1142</v>
      </c>
    </row>
    <row r="83" spans="1:7" x14ac:dyDescent="0.25">
      <c r="A83" s="48" t="s">
        <v>53</v>
      </c>
      <c r="B83" s="42">
        <f t="shared" si="8"/>
        <v>2169</v>
      </c>
      <c r="C83" s="45">
        <f>21+15+9+12+20</f>
        <v>77</v>
      </c>
      <c r="D83" s="45">
        <f>197+213+181+180+227</f>
        <v>998</v>
      </c>
      <c r="E83" s="45">
        <f>210+226+219+231+208</f>
        <v>1094</v>
      </c>
    </row>
    <row r="84" spans="1:7" x14ac:dyDescent="0.25">
      <c r="A84" s="48" t="s">
        <v>54</v>
      </c>
      <c r="B84" s="42">
        <f t="shared" si="8"/>
        <v>2222</v>
      </c>
      <c r="C84" s="45">
        <f>13+16+23+10+14</f>
        <v>76</v>
      </c>
      <c r="D84" s="45">
        <f>177+178+190+191+205</f>
        <v>941</v>
      </c>
      <c r="E84" s="45">
        <f>232+249+224+234+266</f>
        <v>1205</v>
      </c>
    </row>
    <row r="85" spans="1:7" x14ac:dyDescent="0.25">
      <c r="A85" s="48" t="s">
        <v>55</v>
      </c>
      <c r="B85" s="42">
        <f t="shared" si="8"/>
        <v>2195</v>
      </c>
      <c r="C85" s="45">
        <f>15+20+14+11+10</f>
        <v>70</v>
      </c>
      <c r="D85" s="45">
        <f>184+187+183+183+171</f>
        <v>908</v>
      </c>
      <c r="E85" s="45">
        <f>258+257+247+228+227</f>
        <v>1217</v>
      </c>
    </row>
    <row r="86" spans="1:7" x14ac:dyDescent="0.25">
      <c r="A86" s="49" t="s">
        <v>56</v>
      </c>
      <c r="B86" s="42">
        <f t="shared" si="8"/>
        <v>1854</v>
      </c>
      <c r="C86" s="45">
        <f>14+14+7+6+13</f>
        <v>54</v>
      </c>
      <c r="D86" s="45">
        <f>173+175+157+139+141</f>
        <v>785</v>
      </c>
      <c r="E86" s="45">
        <f>253+202+186+198+176</f>
        <v>1015</v>
      </c>
    </row>
    <row r="87" spans="1:7" x14ac:dyDescent="0.25">
      <c r="A87" s="48" t="s">
        <v>57</v>
      </c>
      <c r="B87" s="42">
        <f t="shared" si="8"/>
        <v>1621</v>
      </c>
      <c r="C87" s="45">
        <f>9+13+10+11+16</f>
        <v>59</v>
      </c>
      <c r="D87" s="45">
        <f>154+131+141+135+133</f>
        <v>694</v>
      </c>
      <c r="E87" s="45">
        <f>181+173+168+156+190</f>
        <v>868</v>
      </c>
    </row>
    <row r="88" spans="1:7" x14ac:dyDescent="0.25">
      <c r="A88" s="48" t="s">
        <v>58</v>
      </c>
      <c r="B88" s="42">
        <f t="shared" si="8"/>
        <v>1335</v>
      </c>
      <c r="C88" s="45">
        <f>12+7+8+12+8</f>
        <v>47</v>
      </c>
      <c r="D88" s="45">
        <f>132+125+103+105+114</f>
        <v>579</v>
      </c>
      <c r="E88" s="45">
        <f>167+129+154+132+127</f>
        <v>709</v>
      </c>
    </row>
    <row r="89" spans="1:7" x14ac:dyDescent="0.25">
      <c r="A89" s="48" t="s">
        <v>59</v>
      </c>
      <c r="B89" s="42">
        <f t="shared" si="8"/>
        <v>2346</v>
      </c>
      <c r="C89" s="45">
        <f>6+6+8+9+3+4+5+5+4+2+4+1+1</f>
        <v>58</v>
      </c>
      <c r="D89" s="45">
        <f>96+101+78+84+77+63+52+52+54+56+38+40+40+29+21+14+6+7+15+8+1+2+2+2+3+1+1+3+2+1+1+3</f>
        <v>953</v>
      </c>
      <c r="E89" s="45">
        <f>136+134+132+98+102+92+87+78+56+77+68+61+50+46+25+21+19+15+15+5+3+2+4+2+2+1+2+1+1</f>
        <v>1335</v>
      </c>
      <c r="G89" s="69">
        <f>SUM(B77:B89)</f>
        <v>28747</v>
      </c>
    </row>
    <row r="91" spans="1:7" x14ac:dyDescent="0.25">
      <c r="A91" s="56"/>
      <c r="B91" s="56"/>
      <c r="C91" s="56"/>
      <c r="D91" s="56"/>
      <c r="E91" s="56"/>
    </row>
    <row r="92" spans="1:7" x14ac:dyDescent="0.25">
      <c r="A92" s="56"/>
      <c r="B92" s="56"/>
      <c r="C92" s="56"/>
      <c r="D92" s="56"/>
      <c r="E92" s="56"/>
    </row>
    <row r="96" spans="1:7" ht="17.399999999999999" x14ac:dyDescent="0.3">
      <c r="A96" s="83" t="s">
        <v>107</v>
      </c>
      <c r="B96" s="84"/>
      <c r="C96" s="84"/>
      <c r="D96" s="84"/>
      <c r="E96" s="84"/>
    </row>
    <row r="97" spans="1:7" ht="13.8" thickBot="1" x14ac:dyDescent="0.3">
      <c r="A97" s="52"/>
      <c r="B97" s="30"/>
      <c r="C97" s="40"/>
      <c r="D97" s="40"/>
      <c r="E97" s="40"/>
    </row>
    <row r="98" spans="1:7" ht="13.8" thickBot="1" x14ac:dyDescent="0.3">
      <c r="A98" s="37" t="s">
        <v>64</v>
      </c>
      <c r="B98" s="38">
        <f>+C98+D98+E98</f>
        <v>28331</v>
      </c>
      <c r="C98" s="39">
        <f>+C101+C113+C121+C99</f>
        <v>1072</v>
      </c>
      <c r="D98" s="39">
        <f>+D101+D113+D121+D99</f>
        <v>12888</v>
      </c>
      <c r="E98" s="39">
        <f>+E101+E113+E121</f>
        <v>14371</v>
      </c>
    </row>
    <row r="99" spans="1:7" x14ac:dyDescent="0.25">
      <c r="A99" s="44" t="s">
        <v>62</v>
      </c>
      <c r="B99" s="42">
        <f>+C99+D99+E99</f>
        <v>3</v>
      </c>
      <c r="C99" s="43">
        <v>0</v>
      </c>
      <c r="D99" s="43">
        <v>3</v>
      </c>
      <c r="E99" s="43">
        <v>0</v>
      </c>
      <c r="G99" s="69">
        <f>+B98+B99</f>
        <v>28334</v>
      </c>
    </row>
    <row r="100" spans="1:7" ht="13.8" thickBot="1" x14ac:dyDescent="0.3">
      <c r="A100" s="30"/>
      <c r="B100" s="30"/>
      <c r="C100" s="40"/>
      <c r="D100" s="40"/>
      <c r="E100" s="40"/>
    </row>
    <row r="101" spans="1:7" ht="13.8" thickBot="1" x14ac:dyDescent="0.3">
      <c r="A101" s="37" t="s">
        <v>28</v>
      </c>
      <c r="B101" s="38">
        <f>+C101+D101+E101</f>
        <v>3772</v>
      </c>
      <c r="C101" s="39">
        <f>SUM(C102:C111)</f>
        <v>171</v>
      </c>
      <c r="D101" s="39">
        <f>SUM(D102:D111)</f>
        <v>1662</v>
      </c>
      <c r="E101" s="39">
        <f>SUM(E102:E111)</f>
        <v>1939</v>
      </c>
    </row>
    <row r="102" spans="1:7" x14ac:dyDescent="0.25">
      <c r="A102" s="44" t="s">
        <v>30</v>
      </c>
      <c r="B102" s="42">
        <f t="shared" ref="B102:B111" si="9">+C102+D102+E102</f>
        <v>272</v>
      </c>
      <c r="C102" s="45">
        <v>9</v>
      </c>
      <c r="D102" s="45">
        <v>132</v>
      </c>
      <c r="E102" s="45">
        <v>131</v>
      </c>
    </row>
    <row r="103" spans="1:7" x14ac:dyDescent="0.25">
      <c r="A103" s="41" t="s">
        <v>31</v>
      </c>
      <c r="B103" s="42">
        <f t="shared" si="9"/>
        <v>327</v>
      </c>
      <c r="C103" s="45">
        <v>11</v>
      </c>
      <c r="D103" s="45">
        <v>160</v>
      </c>
      <c r="E103" s="45">
        <v>156</v>
      </c>
    </row>
    <row r="104" spans="1:7" x14ac:dyDescent="0.25">
      <c r="A104" s="44" t="s">
        <v>32</v>
      </c>
      <c r="B104" s="42">
        <f t="shared" si="9"/>
        <v>407</v>
      </c>
      <c r="C104" s="45">
        <v>23</v>
      </c>
      <c r="D104" s="45">
        <v>199</v>
      </c>
      <c r="E104" s="45">
        <v>185</v>
      </c>
    </row>
    <row r="105" spans="1:7" x14ac:dyDescent="0.25">
      <c r="A105" s="44" t="s">
        <v>33</v>
      </c>
      <c r="B105" s="42">
        <f t="shared" si="9"/>
        <v>385</v>
      </c>
      <c r="C105" s="45">
        <v>26</v>
      </c>
      <c r="D105" s="45">
        <v>166</v>
      </c>
      <c r="E105" s="45">
        <v>193</v>
      </c>
    </row>
    <row r="106" spans="1:7" x14ac:dyDescent="0.25">
      <c r="A106" s="44" t="s">
        <v>34</v>
      </c>
      <c r="B106" s="42">
        <f t="shared" si="9"/>
        <v>364</v>
      </c>
      <c r="C106" s="45">
        <v>17</v>
      </c>
      <c r="D106" s="45">
        <v>149</v>
      </c>
      <c r="E106" s="45">
        <v>198</v>
      </c>
    </row>
    <row r="107" spans="1:7" x14ac:dyDescent="0.25">
      <c r="A107" s="44" t="s">
        <v>35</v>
      </c>
      <c r="B107" s="42">
        <f t="shared" si="9"/>
        <v>411</v>
      </c>
      <c r="C107" s="45">
        <v>18</v>
      </c>
      <c r="D107" s="45">
        <v>186</v>
      </c>
      <c r="E107" s="45">
        <v>207</v>
      </c>
    </row>
    <row r="108" spans="1:7" x14ac:dyDescent="0.25">
      <c r="A108" s="44" t="s">
        <v>36</v>
      </c>
      <c r="B108" s="42">
        <f t="shared" si="9"/>
        <v>424</v>
      </c>
      <c r="C108" s="45">
        <v>24</v>
      </c>
      <c r="D108" s="45">
        <v>174</v>
      </c>
      <c r="E108" s="45">
        <v>226</v>
      </c>
    </row>
    <row r="109" spans="1:7" x14ac:dyDescent="0.25">
      <c r="A109" s="44" t="s">
        <v>37</v>
      </c>
      <c r="B109" s="42">
        <f t="shared" si="9"/>
        <v>408</v>
      </c>
      <c r="C109" s="45">
        <v>16</v>
      </c>
      <c r="D109" s="45">
        <v>158</v>
      </c>
      <c r="E109" s="45">
        <v>234</v>
      </c>
    </row>
    <row r="110" spans="1:7" x14ac:dyDescent="0.25">
      <c r="A110" s="44" t="s">
        <v>38</v>
      </c>
      <c r="B110" s="42">
        <f t="shared" si="9"/>
        <v>389</v>
      </c>
      <c r="C110" s="45">
        <v>16</v>
      </c>
      <c r="D110" s="45">
        <v>184</v>
      </c>
      <c r="E110" s="45">
        <v>189</v>
      </c>
    </row>
    <row r="111" spans="1:7" x14ac:dyDescent="0.25">
      <c r="A111" s="44" t="s">
        <v>39</v>
      </c>
      <c r="B111" s="42">
        <f t="shared" si="9"/>
        <v>385</v>
      </c>
      <c r="C111" s="45">
        <v>11</v>
      </c>
      <c r="D111" s="45">
        <v>154</v>
      </c>
      <c r="E111" s="45">
        <v>220</v>
      </c>
      <c r="G111" s="69">
        <f>SUM(B102:B111)</f>
        <v>3772</v>
      </c>
    </row>
    <row r="112" spans="1:7" ht="13.8" thickBot="1" x14ac:dyDescent="0.3">
      <c r="A112" s="46"/>
      <c r="B112" s="30"/>
      <c r="C112" s="40"/>
      <c r="D112" s="40"/>
      <c r="E112" s="40"/>
    </row>
    <row r="113" spans="1:7" ht="13.8" thickBot="1" x14ac:dyDescent="0.3">
      <c r="A113" s="37" t="s">
        <v>40</v>
      </c>
      <c r="B113" s="38">
        <f>+C113+D113+E113</f>
        <v>3750</v>
      </c>
      <c r="C113" s="39">
        <f>SUM(C114:C119)</f>
        <v>168</v>
      </c>
      <c r="D113" s="39">
        <f t="shared" ref="D113:E113" si="10">SUM(D114:D119)</f>
        <v>1678</v>
      </c>
      <c r="E113" s="39">
        <f t="shared" si="10"/>
        <v>1904</v>
      </c>
    </row>
    <row r="114" spans="1:7" x14ac:dyDescent="0.25">
      <c r="A114" s="41" t="s">
        <v>41</v>
      </c>
      <c r="B114" s="42">
        <f t="shared" ref="B114:B119" si="11">+C114+D114+E114</f>
        <v>367</v>
      </c>
      <c r="C114" s="43">
        <v>20</v>
      </c>
      <c r="D114" s="43">
        <v>175</v>
      </c>
      <c r="E114" s="43">
        <v>172</v>
      </c>
    </row>
    <row r="115" spans="1:7" x14ac:dyDescent="0.25">
      <c r="A115" s="41" t="s">
        <v>42</v>
      </c>
      <c r="B115" s="42">
        <f t="shared" si="11"/>
        <v>423</v>
      </c>
      <c r="C115" s="45">
        <v>27</v>
      </c>
      <c r="D115" s="45">
        <v>186</v>
      </c>
      <c r="E115" s="45">
        <v>210</v>
      </c>
    </row>
    <row r="116" spans="1:7" x14ac:dyDescent="0.25">
      <c r="A116" s="41" t="s">
        <v>43</v>
      </c>
      <c r="B116" s="42">
        <f t="shared" si="11"/>
        <v>418</v>
      </c>
      <c r="C116" s="45">
        <v>22</v>
      </c>
      <c r="D116" s="45">
        <v>172</v>
      </c>
      <c r="E116" s="45">
        <v>224</v>
      </c>
    </row>
    <row r="117" spans="1:7" x14ac:dyDescent="0.25">
      <c r="A117" s="41" t="s">
        <v>44</v>
      </c>
      <c r="B117" s="42">
        <f t="shared" si="11"/>
        <v>386</v>
      </c>
      <c r="C117" s="45">
        <v>19</v>
      </c>
      <c r="D117" s="45">
        <v>171</v>
      </c>
      <c r="E117" s="45">
        <v>196</v>
      </c>
    </row>
    <row r="118" spans="1:7" x14ac:dyDescent="0.25">
      <c r="A118" s="41" t="s">
        <v>45</v>
      </c>
      <c r="B118" s="42">
        <f t="shared" si="11"/>
        <v>371</v>
      </c>
      <c r="C118" s="45">
        <v>14</v>
      </c>
      <c r="D118" s="45">
        <v>161</v>
      </c>
      <c r="E118" s="45">
        <v>196</v>
      </c>
    </row>
    <row r="119" spans="1:7" x14ac:dyDescent="0.25">
      <c r="A119" s="44" t="s">
        <v>46</v>
      </c>
      <c r="B119" s="42">
        <f t="shared" si="11"/>
        <v>1785</v>
      </c>
      <c r="C119" s="45">
        <f>15+10+14+16+11</f>
        <v>66</v>
      </c>
      <c r="D119" s="45">
        <f>160+148+177+184+144</f>
        <v>813</v>
      </c>
      <c r="E119" s="45">
        <f>174+196+174+173+189</f>
        <v>906</v>
      </c>
      <c r="G119" s="69">
        <f>SUM(B114:B119)</f>
        <v>3750</v>
      </c>
    </row>
    <row r="120" spans="1:7" ht="13.8" thickBot="1" x14ac:dyDescent="0.3">
      <c r="A120" s="47"/>
      <c r="B120" s="30"/>
      <c r="C120" s="40"/>
      <c r="D120" s="40"/>
      <c r="E120" s="40"/>
    </row>
    <row r="121" spans="1:7" ht="13.8" thickBot="1" x14ac:dyDescent="0.3">
      <c r="A121" s="37" t="s">
        <v>47</v>
      </c>
      <c r="B121" s="38">
        <f>+C121+D121+E121</f>
        <v>20806</v>
      </c>
      <c r="C121" s="39">
        <f>SUM(C122:C134)</f>
        <v>733</v>
      </c>
      <c r="D121" s="39">
        <f t="shared" ref="D121:E121" si="12">SUM(D122:D134)</f>
        <v>9545</v>
      </c>
      <c r="E121" s="39">
        <f t="shared" si="12"/>
        <v>10528</v>
      </c>
    </row>
    <row r="122" spans="1:7" x14ac:dyDescent="0.25">
      <c r="A122" s="48" t="s">
        <v>21</v>
      </c>
      <c r="B122" s="42">
        <f>+C122+D122+E122</f>
        <v>2002</v>
      </c>
      <c r="C122" s="43">
        <f>15+10+10+9+20</f>
        <v>64</v>
      </c>
      <c r="D122" s="43">
        <f>144+179+203+193+203</f>
        <v>922</v>
      </c>
      <c r="E122" s="43">
        <f>204+209+199+195+209</f>
        <v>1016</v>
      </c>
    </row>
    <row r="123" spans="1:7" x14ac:dyDescent="0.25">
      <c r="A123" s="48" t="s">
        <v>48</v>
      </c>
      <c r="B123" s="42">
        <f t="shared" ref="B123:B134" si="13">+C123+D123+E123</f>
        <v>2157</v>
      </c>
      <c r="C123" s="45">
        <f>13+12+8+27+14</f>
        <v>74</v>
      </c>
      <c r="D123" s="45">
        <f>222+207+230+188+221</f>
        <v>1068</v>
      </c>
      <c r="E123" s="45">
        <f>223+221+195+192+184</f>
        <v>1015</v>
      </c>
    </row>
    <row r="124" spans="1:7" x14ac:dyDescent="0.25">
      <c r="A124" s="48" t="s">
        <v>49</v>
      </c>
      <c r="B124" s="42">
        <f t="shared" si="13"/>
        <v>2190</v>
      </c>
      <c r="C124" s="45">
        <f>7+12+15+15+10</f>
        <v>59</v>
      </c>
      <c r="D124" s="45">
        <f>229+182+216+217+206</f>
        <v>1050</v>
      </c>
      <c r="E124" s="45">
        <f>205+226+207+215+228</f>
        <v>1081</v>
      </c>
    </row>
    <row r="125" spans="1:7" x14ac:dyDescent="0.25">
      <c r="A125" s="48" t="s">
        <v>50</v>
      </c>
      <c r="B125" s="42">
        <f t="shared" si="13"/>
        <v>1832</v>
      </c>
      <c r="C125" s="45">
        <f>23+10+16+17+12</f>
        <v>78</v>
      </c>
      <c r="D125" s="45">
        <f>179+172+174+146+178</f>
        <v>849</v>
      </c>
      <c r="E125" s="45">
        <f>207+167+166+179+186</f>
        <v>905</v>
      </c>
    </row>
    <row r="126" spans="1:7" x14ac:dyDescent="0.25">
      <c r="A126" s="48" t="s">
        <v>51</v>
      </c>
      <c r="B126" s="42">
        <f t="shared" si="13"/>
        <v>1595</v>
      </c>
      <c r="C126" s="45">
        <f>13+14+14+3+8</f>
        <v>52</v>
      </c>
      <c r="D126" s="45">
        <f>173+121+153+143+138</f>
        <v>728</v>
      </c>
      <c r="E126" s="45">
        <f>174+182+164+150+145</f>
        <v>815</v>
      </c>
    </row>
    <row r="127" spans="1:7" x14ac:dyDescent="0.25">
      <c r="A127" s="48" t="s">
        <v>52</v>
      </c>
      <c r="B127" s="42">
        <f t="shared" si="13"/>
        <v>1623</v>
      </c>
      <c r="C127" s="45">
        <f>11+7+11+8+19</f>
        <v>56</v>
      </c>
      <c r="D127" s="45">
        <f>140+151+134+167+160</f>
        <v>752</v>
      </c>
      <c r="E127" s="45">
        <f>161+155+167+182+150</f>
        <v>815</v>
      </c>
    </row>
    <row r="128" spans="1:7" x14ac:dyDescent="0.25">
      <c r="A128" s="48" t="s">
        <v>53</v>
      </c>
      <c r="B128" s="42">
        <f t="shared" si="13"/>
        <v>1590</v>
      </c>
      <c r="C128" s="45">
        <f>8+12+15+8+12</f>
        <v>55</v>
      </c>
      <c r="D128" s="45">
        <f>156+136+143+148+145</f>
        <v>728</v>
      </c>
      <c r="E128" s="45">
        <f>184+143+141+178+161</f>
        <v>807</v>
      </c>
    </row>
    <row r="129" spans="1:7" x14ac:dyDescent="0.25">
      <c r="A129" s="48" t="s">
        <v>54</v>
      </c>
      <c r="B129" s="42">
        <f t="shared" si="13"/>
        <v>1649</v>
      </c>
      <c r="C129" s="45">
        <f>7+16+10+11+18</f>
        <v>62</v>
      </c>
      <c r="D129" s="45">
        <f>143+142+141+163+145</f>
        <v>734</v>
      </c>
      <c r="E129" s="45">
        <f>149+173+160+196+175</f>
        <v>853</v>
      </c>
    </row>
    <row r="130" spans="1:7" x14ac:dyDescent="0.25">
      <c r="A130" s="48" t="s">
        <v>55</v>
      </c>
      <c r="B130" s="42">
        <f t="shared" si="13"/>
        <v>1661</v>
      </c>
      <c r="C130" s="45">
        <f>19+12+16+8+10</f>
        <v>65</v>
      </c>
      <c r="D130" s="45">
        <f>133+157+150+132+135</f>
        <v>707</v>
      </c>
      <c r="E130" s="45">
        <f>194+175+184+166+170</f>
        <v>889</v>
      </c>
    </row>
    <row r="131" spans="1:7" x14ac:dyDescent="0.25">
      <c r="A131" s="49" t="s">
        <v>56</v>
      </c>
      <c r="B131" s="42">
        <f t="shared" si="13"/>
        <v>1332</v>
      </c>
      <c r="C131" s="45">
        <f>10+5+10+7+9</f>
        <v>41</v>
      </c>
      <c r="D131" s="45">
        <f>127+135+118+97+97</f>
        <v>574</v>
      </c>
      <c r="E131" s="45">
        <f>157+129+151+147+133</f>
        <v>717</v>
      </c>
    </row>
    <row r="132" spans="1:7" x14ac:dyDescent="0.25">
      <c r="A132" s="48" t="s">
        <v>57</v>
      </c>
      <c r="B132" s="42">
        <f t="shared" si="13"/>
        <v>1115</v>
      </c>
      <c r="C132" s="45">
        <f>12+11+9+8+8</f>
        <v>48</v>
      </c>
      <c r="D132" s="45">
        <f>97+92+92+108+87</f>
        <v>476</v>
      </c>
      <c r="E132" s="45">
        <f>138+115+125+102+111</f>
        <v>591</v>
      </c>
    </row>
    <row r="133" spans="1:7" x14ac:dyDescent="0.25">
      <c r="A133" s="48" t="s">
        <v>58</v>
      </c>
      <c r="B133" s="42">
        <f t="shared" si="13"/>
        <v>886</v>
      </c>
      <c r="C133" s="45">
        <f>8+7+7+5+5</f>
        <v>32</v>
      </c>
      <c r="D133" s="45">
        <f>92+105+84+65+79</f>
        <v>425</v>
      </c>
      <c r="E133" s="45">
        <f>91+84+80+95+79</f>
        <v>429</v>
      </c>
    </row>
    <row r="134" spans="1:7" x14ac:dyDescent="0.25">
      <c r="A134" s="48" t="s">
        <v>59</v>
      </c>
      <c r="B134" s="42">
        <f t="shared" si="13"/>
        <v>1174</v>
      </c>
      <c r="C134" s="45">
        <f>3+3+9+4+5+6+4+6+2+1+1+2+1</f>
        <v>47</v>
      </c>
      <c r="D134" s="45">
        <f>54+50+51+45+33+44+23+24+26+25+17+13+16+5+8+7+4+5+3+3+4+3+1+2+3+2+1+4+3+2+2+3+1+1+1+1+1+40+1</f>
        <v>532</v>
      </c>
      <c r="E134" s="45">
        <f>65+68+60+54+42+45+46+52+28+17+26+18+21+12+9+10+3+4+3+3+3+6</f>
        <v>595</v>
      </c>
      <c r="G134" s="69">
        <f>SUM(B122:B134)</f>
        <v>20806</v>
      </c>
    </row>
  </sheetData>
  <mergeCells count="5">
    <mergeCell ref="A3:E3"/>
    <mergeCell ref="C4:E4"/>
    <mergeCell ref="A51:E51"/>
    <mergeCell ref="A96:E96"/>
    <mergeCell ref="A1:E1"/>
  </mergeCells>
  <pageMargins left="0.70866141732283472" right="0.70866141732283472" top="0.74803149606299213" bottom="0.74803149606299213" header="0.31496062992125984" footer="0.31496062992125984"/>
  <pageSetup scale="9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'2014'!Área_de_impresión</vt:lpstr>
      <vt:lpstr>'2015'!Área_de_impresión</vt:lpstr>
      <vt:lpstr>'2016'!Área_de_impresión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Usuario de Windows</cp:lastModifiedBy>
  <cp:lastPrinted>2025-10-10T14:32:35Z</cp:lastPrinted>
  <dcterms:created xsi:type="dcterms:W3CDTF">2001-03-20T13:27:49Z</dcterms:created>
  <dcterms:modified xsi:type="dcterms:W3CDTF">2025-11-24T15:54:13Z</dcterms:modified>
</cp:coreProperties>
</file>